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3/02/"/>
    </mc:Choice>
  </mc:AlternateContent>
  <xr:revisionPtr revIDLastSave="89" documentId="13_ncr:1_{5F3DD0B6-F8E3-45DE-B34C-121C8C8A1AA4}" xr6:coauthVersionLast="47" xr6:coauthVersionMax="47" xr10:uidLastSave="{680084D7-CA5F-4163-9116-41E9601CB925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4" i="17" l="1"/>
  <c r="L26" i="17"/>
  <c r="L24" i="17"/>
  <c r="M26" i="17"/>
  <c r="K26" i="17"/>
  <c r="O24" i="17"/>
  <c r="M24" i="17"/>
  <c r="K24" i="17"/>
  <c r="O19" i="17"/>
  <c r="K21" i="17"/>
  <c r="L21" i="17"/>
  <c r="M21" i="17"/>
  <c r="N19" i="17"/>
  <c r="M19" i="17"/>
  <c r="K19" i="17"/>
  <c r="BT6" i="15" l="1"/>
  <c r="P28" i="12" l="1"/>
  <c r="P26" i="12"/>
  <c r="P27" i="12"/>
  <c r="AJ7" i="15" l="1"/>
  <c r="C8" i="17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V5" i="15"/>
  <c r="AV7" i="15" s="1"/>
  <c r="AW5" i="15"/>
  <c r="AW7" i="15" s="1"/>
  <c r="AX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P38" i="12" l="1"/>
  <c r="S9" i="15"/>
  <c r="C39" i="12"/>
  <c r="E39" i="12"/>
  <c r="D39" i="12"/>
  <c r="P37" i="12" l="1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A5" i="15"/>
  <c r="BA7" i="15" s="1"/>
  <c r="AZ5" i="15"/>
  <c r="AZ7" i="15" s="1"/>
  <c r="Y45" i="15"/>
  <c r="Y44" i="15"/>
  <c r="Y35" i="15"/>
  <c r="Y36" i="15"/>
  <c r="AY5" i="15"/>
  <c r="AY7" i="15" s="1"/>
  <c r="AX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A8" i="15" l="1"/>
  <c r="BA11" i="15" s="1"/>
  <c r="AY8" i="15"/>
  <c r="AY10" i="15" s="1"/>
  <c r="AZ8" i="15"/>
  <c r="BA9" i="15" l="1"/>
  <c r="BA10" i="15"/>
  <c r="AY9" i="15"/>
  <c r="AY11" i="15"/>
  <c r="AZ10" i="15"/>
  <c r="AZ11" i="15"/>
  <c r="AZ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B5" i="15" l="1"/>
  <c r="BB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B8" i="15" l="1"/>
  <c r="BB11" i="15" s="1"/>
  <c r="BB9" i="15" l="1"/>
  <c r="BB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D5" i="15"/>
  <c r="BD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C5" i="15"/>
  <c r="BC7" i="15" s="1"/>
  <c r="AB89" i="15"/>
  <c r="AB90" i="15"/>
  <c r="AB116" i="15"/>
  <c r="AB117" i="15"/>
  <c r="BC8" i="15" l="1"/>
  <c r="BC11" i="15" s="1"/>
  <c r="BD8" i="15"/>
  <c r="BC10" i="15" l="1"/>
  <c r="BC9" i="15"/>
  <c r="BD10" i="15"/>
  <c r="BD9" i="15"/>
  <c r="BD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G5" i="15"/>
  <c r="BG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F5" i="15"/>
  <c r="BF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E5" i="15"/>
  <c r="BE7" i="15" s="1"/>
  <c r="AD81" i="15"/>
  <c r="AD80" i="15"/>
  <c r="AD63" i="15"/>
  <c r="AD62" i="15"/>
  <c r="BG8" i="15" l="1"/>
  <c r="BG11" i="15" s="1"/>
  <c r="BE8" i="15"/>
  <c r="BE11" i="15" s="1"/>
  <c r="BF8" i="15"/>
  <c r="BG9" i="15" l="1"/>
  <c r="BG10" i="15"/>
  <c r="BE9" i="15"/>
  <c r="BE10" i="15"/>
  <c r="BF10" i="15"/>
  <c r="BF9" i="15"/>
  <c r="BF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J5" i="15" l="1"/>
  <c r="BJ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I5" i="15"/>
  <c r="BI7" i="15" s="1"/>
  <c r="AH90" i="15"/>
  <c r="AH89" i="15"/>
  <c r="BH5" i="15"/>
  <c r="BH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J8" i="15" l="1"/>
  <c r="BH8" i="15"/>
  <c r="BH11" i="15" s="1"/>
  <c r="BI8" i="15"/>
  <c r="BH9" i="15" l="1"/>
  <c r="BH10" i="15"/>
  <c r="BJ11" i="15"/>
  <c r="BJ10" i="15"/>
  <c r="BJ9" i="15"/>
  <c r="BI11" i="15"/>
  <c r="BI10" i="15"/>
  <c r="BI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K5" i="15" l="1"/>
  <c r="BK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K8" i="15" l="1"/>
  <c r="BK11" i="15" s="1"/>
  <c r="BK10" i="15" l="1"/>
  <c r="BK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L5" i="15" l="1"/>
  <c r="BL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L8" i="15" l="1"/>
  <c r="BL10" i="15" s="1"/>
  <c r="BL9" i="15" l="1"/>
  <c r="BL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N5" i="15"/>
  <c r="BN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M5" i="15"/>
  <c r="BM7" i="15" s="1"/>
  <c r="BM8" i="15" l="1"/>
  <c r="BM10" i="15" s="1"/>
  <c r="BN8" i="15"/>
  <c r="BM9" i="15" l="1"/>
  <c r="BM11" i="15"/>
  <c r="BN9" i="15"/>
  <c r="BN11" i="15"/>
  <c r="BN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BO5" i="15" l="1"/>
  <c r="BO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O8" i="15" l="1"/>
  <c r="BO10" i="15" s="1"/>
  <c r="AO43" i="15" l="1"/>
  <c r="BO11" i="15"/>
  <c r="BO9" i="15"/>
  <c r="AO45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P17" i="15" l="1"/>
  <c r="AP18" i="15"/>
  <c r="AQ18" i="15"/>
  <c r="AQ115" i="15"/>
  <c r="AP43" i="15"/>
  <c r="AQ43" i="15"/>
  <c r="AS33" i="15" l="1"/>
  <c r="AQ98" i="15"/>
  <c r="AQ99" i="15"/>
  <c r="AQ72" i="15"/>
  <c r="AQ71" i="15"/>
  <c r="AR107" i="15"/>
  <c r="AR108" i="15"/>
  <c r="AR97" i="15"/>
  <c r="AR99" i="15" s="1"/>
  <c r="AR16" i="15"/>
  <c r="AQ34" i="15"/>
  <c r="AR34" i="15"/>
  <c r="AR70" i="15"/>
  <c r="AR116" i="15"/>
  <c r="AR117" i="15"/>
  <c r="AP44" i="15"/>
  <c r="AP45" i="15"/>
  <c r="AQ44" i="15"/>
  <c r="AQ45" i="15"/>
  <c r="AQ117" i="15"/>
  <c r="AQ116" i="15"/>
  <c r="AS69" i="15" l="1"/>
  <c r="AS6" i="15"/>
  <c r="AS114" i="15"/>
  <c r="AS42" i="15"/>
  <c r="AS96" i="15"/>
  <c r="AS105" i="15"/>
  <c r="AR106" i="15"/>
  <c r="AS15" i="15"/>
  <c r="AQ97" i="15"/>
  <c r="AP16" i="15"/>
  <c r="AS50" i="15"/>
  <c r="AS52" i="15" s="1"/>
  <c r="AS51" i="15"/>
  <c r="AQ35" i="15"/>
  <c r="AQ36" i="15"/>
  <c r="AQ7" i="15"/>
  <c r="AR7" i="15"/>
  <c r="AR45" i="15"/>
  <c r="AR44" i="15"/>
  <c r="AR98" i="15"/>
  <c r="AR52" i="15"/>
  <c r="AR18" i="15"/>
  <c r="AR17" i="15"/>
  <c r="AR72" i="15"/>
  <c r="AR71" i="15"/>
  <c r="AR36" i="15"/>
  <c r="AR35" i="15"/>
  <c r="AS104" i="15" l="1"/>
  <c r="AS106" i="15" s="1"/>
  <c r="AS95" i="15"/>
  <c r="AS97" i="15" s="1"/>
  <c r="M48" i="12"/>
  <c r="AS14" i="15"/>
  <c r="AS16" i="15" s="1"/>
  <c r="O48" i="12"/>
  <c r="D48" i="12"/>
  <c r="H48" i="12"/>
  <c r="AS5" i="15"/>
  <c r="AS7" i="15" s="1"/>
  <c r="N48" i="12"/>
  <c r="AR115" i="15"/>
  <c r="AS113" i="15"/>
  <c r="AS115" i="15" s="1"/>
  <c r="AQ70" i="15"/>
  <c r="AS68" i="15"/>
  <c r="AS70" i="15" s="1"/>
  <c r="F48" i="12"/>
  <c r="AS32" i="15"/>
  <c r="AS34" i="15" s="1"/>
  <c r="J48" i="12"/>
  <c r="AS54" i="15"/>
  <c r="AS53" i="15"/>
  <c r="AS60" i="15"/>
  <c r="AS59" i="15"/>
  <c r="AS61" i="15" s="1"/>
  <c r="AQ8" i="15"/>
  <c r="AQ9" i="15"/>
  <c r="AR54" i="15"/>
  <c r="AR53" i="15"/>
  <c r="AR9" i="15"/>
  <c r="AR8" i="15"/>
  <c r="AR61" i="15"/>
  <c r="AQ61" i="15"/>
  <c r="AP61" i="15"/>
  <c r="I48" i="12"/>
  <c r="AO61" i="15"/>
  <c r="G48" i="12" l="1"/>
  <c r="C48" i="12"/>
  <c r="AS108" i="15"/>
  <c r="AS107" i="15"/>
  <c r="AS8" i="15"/>
  <c r="AS9" i="15"/>
  <c r="AS18" i="15"/>
  <c r="AS17" i="15"/>
  <c r="AR43" i="15"/>
  <c r="AS41" i="15"/>
  <c r="AS43" i="15" s="1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S44" i="15" l="1"/>
  <c r="AS45" i="15"/>
  <c r="AS24" i="15" l="1"/>
  <c r="AS23" i="15"/>
  <c r="AS25" i="15" s="1"/>
  <c r="AS86" i="15"/>
  <c r="AS88" i="15" s="1"/>
  <c r="AS87" i="15"/>
  <c r="AS78" i="15"/>
  <c r="AS77" i="15"/>
  <c r="AS79" i="15" s="1"/>
  <c r="AR79" i="15"/>
  <c r="AR88" i="15"/>
  <c r="AR25" i="15"/>
  <c r="BS5" i="15"/>
  <c r="BS7" i="15" s="1"/>
  <c r="AQ88" i="15"/>
  <c r="AQ79" i="15"/>
  <c r="AQ25" i="15"/>
  <c r="BR5" i="15"/>
  <c r="BR7" i="15" s="1"/>
  <c r="AP25" i="15"/>
  <c r="AP88" i="15"/>
  <c r="AP79" i="15"/>
  <c r="P44" i="12"/>
  <c r="E48" i="12"/>
  <c r="P43" i="12"/>
  <c r="P47" i="12"/>
  <c r="L48" i="12"/>
  <c r="P45" i="12"/>
  <c r="AO88" i="15"/>
  <c r="K48" i="12"/>
  <c r="AO79" i="15"/>
  <c r="BP5" i="15"/>
  <c r="BP7" i="15" s="1"/>
  <c r="AO25" i="15"/>
  <c r="P46" i="12"/>
  <c r="AS89" i="15" l="1"/>
  <c r="AS90" i="15"/>
  <c r="AS80" i="15"/>
  <c r="AS81" i="15"/>
  <c r="AS27" i="15"/>
  <c r="AS26" i="15"/>
  <c r="BT5" i="15"/>
  <c r="BT7" i="15" s="1"/>
  <c r="AR89" i="15"/>
  <c r="AR90" i="15"/>
  <c r="AR81" i="15"/>
  <c r="AR80" i="15"/>
  <c r="AR26" i="15"/>
  <c r="AR27" i="15"/>
  <c r="P48" i="12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BQ5" i="15"/>
  <c r="BQ7" i="15" s="1"/>
  <c r="BP8" i="15"/>
  <c r="BP11" i="15" s="1"/>
  <c r="AO27" i="15"/>
  <c r="AO26" i="15"/>
  <c r="AO89" i="15"/>
  <c r="AO90" i="15"/>
  <c r="F7" i="12"/>
  <c r="F6" i="12"/>
  <c r="AO81" i="15"/>
  <c r="AO80" i="15"/>
  <c r="BT8" i="15" l="1"/>
  <c r="BT10" i="15" s="1"/>
  <c r="BQ8" i="15"/>
  <c r="BQ11" i="15" s="1"/>
  <c r="BS8" i="15"/>
  <c r="BR8" i="15"/>
  <c r="BP9" i="15"/>
  <c r="BP10" i="15"/>
  <c r="BQ10" i="15"/>
  <c r="BQ9" i="15"/>
  <c r="BT9" i="15" l="1"/>
  <c r="BT11" i="15"/>
  <c r="BS11" i="15"/>
  <c r="BS10" i="15"/>
  <c r="BS9" i="15"/>
  <c r="BR11" i="15"/>
  <c r="BR10" i="15"/>
  <c r="BR9" i="15"/>
</calcChain>
</file>

<file path=xl/sharedStrings.xml><?xml version="1.0" encoding="utf-8"?>
<sst xmlns="http://schemas.openxmlformats.org/spreadsheetml/2006/main" count="6758" uniqueCount="213">
  <si>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</si>
  <si>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</si>
  <si>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</si>
  <si>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</si>
  <si>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</si>
  <si>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</si>
  <si>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</si>
  <si>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</si>
  <si>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</si>
  <si>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</si>
  <si>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</si>
  <si>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</si>
  <si>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</si>
  <si>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</si>
  <si>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</si>
  <si>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</si>
  <si>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</si>
  <si>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</si>
  <si>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</si>
  <si>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</si>
  <si>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</si>
  <si>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</si>
  <si>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</si>
  <si>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</si>
  <si>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</si>
  <si>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</si>
  <si>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</si>
  <si>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</si>
  <si>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</si>
  <si>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</si>
  <si>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</si>
  <si>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</si>
  <si>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</si>
  <si>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</si>
  <si>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</si>
  <si>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</si>
  <si>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</si>
  <si>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</si>
  <si>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</si>
  <si>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</si>
  <si>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</si>
  <si>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</si>
  <si>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</si>
  <si>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</si>
  <si>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</si>
  <si>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</si>
  <si>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</si>
  <si>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</si>
  <si>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</si>
  <si>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</si>
  <si>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</si>
  <si>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</si>
  <si>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</si>
  <si>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</si>
  <si>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</si>
  <si>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</si>
  <si>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</si>
  <si>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</si>
  <si>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</si>
  <si>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</si>
  <si>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</si>
  <si>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</si>
  <si>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</si>
  <si>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</si>
  <si>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</si>
  <si>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</si>
  <si>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</si>
  <si>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</si>
  <si>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</si>
  <si>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</si>
  <si>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</si>
  <si>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</si>
  <si>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</si>
  <si>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</si>
  <si>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</si>
  <si>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</si>
  <si>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</si>
  <si>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</si>
  <si>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</si>
  <si>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</si>
  <si>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</si>
  <si>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</si>
  <si>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</si>
  <si>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</si>
  <si>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</si>
  <si>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</si>
  <si>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</si>
  <si>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</si>
  <si>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</si>
  <si>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</si>
  <si>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</si>
  <si>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</si>
  <si>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</si>
  <si>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</si>
  <si>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</si>
  <si>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</si>
  <si>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</si>
  <si>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</si>
  <si>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</si>
  <si>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</si>
  <si>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</si>
  <si>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</si>
  <si>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</si>
  <si>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</si>
  <si>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</si>
  <si>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</si>
  <si>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</si>
  <si>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</si>
  <si>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</si>
  <si>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</si>
  <si>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</si>
  <si>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</si>
  <si>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</si>
  <si>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</si>
  <si>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</si>
  <si>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</si>
  <si>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</si>
  <si>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</si>
  <si>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</si>
  <si>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</si>
  <si>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</si>
  <si>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</si>
  <si>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</si>
  <si>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</si>
  <si>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</si>
  <si>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</si>
  <si>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</si>
  <si>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</si>
  <si>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</si>
  <si>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</si>
  <si>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</si>
  <si>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</si>
  <si>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</si>
  <si>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</si>
  <si>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</si>
  <si>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</si>
  <si>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</si>
  <si>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</si>
  <si>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</si>
  <si>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</si>
  <si>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</si>
  <si>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</si>
  <si>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</si>
  <si>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</si>
  <si>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</si>
  <si>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</si>
  <si>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</si>
  <si>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</si>
  <si>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</si>
  <si>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</si>
  <si>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</si>
  <si>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</si>
  <si>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</si>
  <si>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</si>
  <si>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</si>
  <si>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</si>
  <si>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</si>
  <si>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</si>
  <si>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</si>
  <si>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</si>
  <si>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</si>
  <si>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</si>
  <si>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</si>
  <si>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</si>
  <si>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</si>
  <si>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</si>
  <si>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</si>
  <si>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</si>
  <si>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</si>
  <si>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</si>
  <si>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</si>
  <si>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</si>
  <si>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</si>
  <si>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</si>
  <si>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</si>
  <si>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</si>
  <si>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</si>
  <si>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</si>
  <si>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</si>
  <si>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</si>
  <si>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</si>
  <si>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</si>
  <si>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</si>
  <si>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</si>
  <si>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</si>
  <si>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</si>
  <si>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</si>
  <si>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</si>
  <si>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</si>
  <si>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</si>
  <si>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</si>
  <si>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</si>
  <si>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</si>
  <si>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</si>
  <si>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</si>
  <si>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</si>
  <si>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</si>
  <si>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</si>
  <si>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</si>
  <si>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</si>
  <si>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</si>
  <si>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</si>
  <si>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</si>
  <si>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</si>
  <si>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</si>
  <si>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</si>
  <si>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</si>
  <si>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PMTs Ordinárias Validadas com Agente Fiduciário</t>
  </si>
  <si>
    <t>PMT's finais que serão pagas no evento do mês</t>
  </si>
  <si>
    <t>Recebíveis Conta Corrente (Créditos até 09/02/2023)</t>
  </si>
  <si>
    <t>Fundo Soberano (Aplicações recebimentos até 09/02/2023) Valor Líquido 16/02/2023</t>
  </si>
  <si>
    <t>Fundo de Despesas (Valor Bruto 16/02/2023)</t>
  </si>
  <si>
    <t>Fundo de Litígio (Valor Bruto 16/02/2023)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</si>
</sst>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76</xdr:col>
      <xdr:colOff>204374</xdr:colOff>
      <xdr:row>18</xdr:row>
      <xdr:rowOff>39486</xdr:rowOff>
    </xdr:from>
    <xdr:to>
      <xdr:col>84</xdr:col>
      <xdr:colOff>362641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85</xdr:col>
      <xdr:colOff>0</xdr:colOff>
      <xdr:row>0</xdr:row>
      <xdr:rowOff>99785</xdr:rowOff>
    </xdr:from>
    <xdr:to>
      <xdr:col>92</xdr:col>
      <xdr:colOff>474616</xdr:colOff>
      <xdr:row>22</xdr:row>
      <xdr:rowOff>59604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85</xdr:col>
      <xdr:colOff>54429</xdr:colOff>
      <xdr:row>24</xdr:row>
      <xdr:rowOff>9071</xdr:rowOff>
    </xdr:from>
    <xdr:to>
      <xdr:col>92</xdr:col>
      <xdr:colOff>359500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85</xdr:col>
      <xdr:colOff>0</xdr:colOff>
      <xdr:row>31</xdr:row>
      <xdr:rowOff>0</xdr:rowOff>
    </xdr:from>
    <xdr:to>
      <xdr:col>93</xdr:col>
      <xdr:colOff>36283</xdr:colOff>
      <xdr:row>48</xdr:row>
      <xdr:rowOff>93024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94</xdr:col>
      <xdr:colOff>0</xdr:colOff>
      <xdr:row>1</xdr:row>
      <xdr:rowOff>0</xdr:rowOff>
    </xdr:from>
    <xdr:to>
      <xdr:col>102</xdr:col>
      <xdr:colOff>459492</xdr:colOff>
      <xdr:row>13</xdr:row>
      <xdr:rowOff>136047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103</xdr:col>
      <xdr:colOff>136071</xdr:colOff>
      <xdr:row>1</xdr:row>
      <xdr:rowOff>81643</xdr:rowOff>
    </xdr:from>
    <xdr:to>
      <xdr:col>113</xdr:col>
      <xdr:colOff>283113</xdr:colOff>
      <xdr:row>10</xdr:row>
      <xdr:rowOff>17943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94</xdr:col>
      <xdr:colOff>0</xdr:colOff>
      <xdr:row>15</xdr:row>
      <xdr:rowOff>0</xdr:rowOff>
    </xdr:from>
    <xdr:to>
      <xdr:col>102</xdr:col>
      <xdr:colOff>511884</xdr:colOff>
      <xdr:row>26</xdr:row>
      <xdr:rowOff>98336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77</xdr:col>
      <xdr:colOff>109767</xdr:colOff>
      <xdr:row>0</xdr:row>
      <xdr:rowOff>27214</xdr:rowOff>
    </xdr:from>
    <xdr:to>
      <xdr:col>83</xdr:col>
      <xdr:colOff>493000</xdr:colOff>
      <xdr:row>16</xdr:row>
      <xdr:rowOff>21094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102</xdr:col>
      <xdr:colOff>535215</xdr:colOff>
      <xdr:row>11</xdr:row>
      <xdr:rowOff>99787</xdr:rowOff>
    </xdr:from>
    <xdr:to>
      <xdr:col>115</xdr:col>
      <xdr:colOff>131142</xdr:colOff>
      <xdr:row>38</xdr:row>
      <xdr:rowOff>16454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46</xdr:col>
      <xdr:colOff>153261</xdr:colOff>
      <xdr:row>12</xdr:row>
      <xdr:rowOff>9071</xdr:rowOff>
    </xdr:from>
    <xdr:to>
      <xdr:col>48</xdr:col>
      <xdr:colOff>403516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2" bestFit="1" customWidth="1"/>
    <col min="22" max="22" width="20.33203125" style="80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179</v>
      </c>
      <c r="V1" s="80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C3" sqref="C3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16.5546875" style="13" bestFit="1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8">
        <v>44957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209377747.56315184</v>
      </c>
      <c r="D6" s="2" t="s">
        <v>167</v>
      </c>
      <c r="E6" s="12">
        <f>'Ordem de Aplicação dos Recursos'!N7*'Histórico Integralizações'!D4</f>
        <v>206020039.87816629</v>
      </c>
      <c r="F6" s="65">
        <f>1-E6/(P29+P34+P35+P36+P43+P44+P45)</f>
        <v>5.7399504693061543E-2</v>
      </c>
      <c r="I6" s="12"/>
    </row>
    <row r="7" spans="2:9" x14ac:dyDescent="0.3">
      <c r="B7" s="14" t="s">
        <v>70</v>
      </c>
      <c r="C7" s="16">
        <v>25330938.906347595</v>
      </c>
      <c r="D7" s="2" t="s">
        <v>168</v>
      </c>
      <c r="E7" s="12">
        <v>203266005.10039461</v>
      </c>
      <c r="F7" s="65">
        <f>1-E7/(P29+P34+P35+P36+P43+P44+P45)</f>
        <v>7.0000000000000062E-2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5"/>
      <c r="I8" s="12"/>
    </row>
    <row r="9" spans="2:9" x14ac:dyDescent="0.3">
      <c r="B9" s="14"/>
      <c r="C9" s="16"/>
      <c r="H9" s="12"/>
      <c r="I9" s="12"/>
    </row>
    <row r="10" spans="2:9" x14ac:dyDescent="0.3">
      <c r="B10" s="55" t="s">
        <v>143</v>
      </c>
      <c r="C10" s="16"/>
      <c r="D10" s="93"/>
      <c r="E10" s="93"/>
      <c r="F10" s="93"/>
    </row>
    <row r="11" spans="2:9" x14ac:dyDescent="0.3">
      <c r="B11" s="14" t="s">
        <v>209</v>
      </c>
      <c r="C11" s="16">
        <v>0</v>
      </c>
      <c r="D11" s="6"/>
      <c r="E11" s="6"/>
      <c r="F11" s="6"/>
    </row>
    <row r="12" spans="2:9" x14ac:dyDescent="0.3">
      <c r="B12" s="14" t="s">
        <v>210</v>
      </c>
      <c r="C12" s="16">
        <v>8375449.1600000001</v>
      </c>
      <c r="D12" s="28"/>
      <c r="E12" s="12"/>
      <c r="F12" s="16"/>
    </row>
    <row r="13" spans="2:9" x14ac:dyDescent="0.3">
      <c r="B13" s="14" t="s">
        <v>211</v>
      </c>
      <c r="C13" s="16">
        <v>285784.90999999997</v>
      </c>
      <c r="D13" s="28"/>
      <c r="E13" s="21"/>
      <c r="F13" s="89"/>
      <c r="H13" s="12"/>
    </row>
    <row r="14" spans="2:9" x14ac:dyDescent="0.3">
      <c r="B14" s="14" t="s">
        <v>212</v>
      </c>
      <c r="C14" s="16">
        <v>123466.36</v>
      </c>
      <c r="D14" s="90"/>
      <c r="E14" s="89"/>
      <c r="F14" s="89"/>
    </row>
    <row r="15" spans="2:9" x14ac:dyDescent="0.3">
      <c r="B15" s="14"/>
      <c r="C15" s="16"/>
      <c r="D15" s="90"/>
      <c r="E15" s="89"/>
      <c r="F15" s="89"/>
    </row>
    <row r="16" spans="2:9" x14ac:dyDescent="0.3">
      <c r="B16" s="14"/>
      <c r="C16" s="16"/>
      <c r="D16" s="90"/>
      <c r="E16" s="89"/>
      <c r="F16" s="89"/>
    </row>
    <row r="17" spans="1:21" x14ac:dyDescent="0.3">
      <c r="B17" s="14"/>
      <c r="C17" s="16"/>
      <c r="D17" s="90"/>
      <c r="E17" s="89"/>
      <c r="F17" s="89"/>
    </row>
    <row r="18" spans="1:21" x14ac:dyDescent="0.3">
      <c r="B18" s="14"/>
      <c r="C18" s="16"/>
      <c r="D18" s="89"/>
      <c r="E18" s="89"/>
      <c r="F18" s="89"/>
    </row>
    <row r="19" spans="1:21" x14ac:dyDescent="0.3">
      <c r="B19" s="14"/>
      <c r="C19" s="16"/>
      <c r="D19" s="89"/>
      <c r="E19" s="92"/>
      <c r="F19" s="89"/>
    </row>
    <row r="20" spans="1:21" x14ac:dyDescent="0.3">
      <c r="B20" s="16"/>
      <c r="C20" s="16"/>
      <c r="D20" s="89"/>
      <c r="E20" s="89"/>
      <c r="F20" s="89"/>
    </row>
    <row r="21" spans="1:21" x14ac:dyDescent="0.3">
      <c r="B21" s="16"/>
      <c r="C21" s="16"/>
      <c r="D21" s="89"/>
      <c r="E21" s="89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96" t="s">
        <v>129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67"/>
    </row>
    <row r="25" spans="1:21" x14ac:dyDescent="0.3">
      <c r="B25" s="35" t="s">
        <v>172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3">
      <c r="A26" s="91" t="s">
        <v>206</v>
      </c>
      <c r="B26" s="28">
        <v>44875</v>
      </c>
      <c r="C26" s="3">
        <v>2377072.5981540019</v>
      </c>
      <c r="D26" s="3">
        <v>7177331.1596669974</v>
      </c>
      <c r="E26" s="3">
        <v>7260966.4448370077</v>
      </c>
      <c r="F26" s="3">
        <v>6853398.7007040065</v>
      </c>
      <c r="G26" s="3">
        <v>5550928.253770995</v>
      </c>
      <c r="H26" s="3">
        <v>5494870.8958620066</v>
      </c>
      <c r="I26" s="3">
        <v>13005221.985489966</v>
      </c>
      <c r="J26" s="12">
        <v>11442439.696388004</v>
      </c>
      <c r="K26" s="12">
        <v>26651512.970042996</v>
      </c>
      <c r="L26" s="12">
        <v>70753091.341824085</v>
      </c>
      <c r="M26" s="12">
        <v>38852787.511470042</v>
      </c>
      <c r="N26" s="12">
        <v>41919997.86296007</v>
      </c>
      <c r="O26" s="12">
        <v>5620790.2168799974</v>
      </c>
      <c r="P26" s="37">
        <f t="shared" ref="P26:P27" si="1">SUM(C26:O26)</f>
        <v>242960409.63805017</v>
      </c>
      <c r="Q26" s="3"/>
      <c r="R26" s="3"/>
      <c r="S26" s="3"/>
      <c r="T26" s="3"/>
      <c r="U26" s="3"/>
    </row>
    <row r="27" spans="1:21" x14ac:dyDescent="0.3">
      <c r="A27" s="91" t="s">
        <v>206</v>
      </c>
      <c r="B27" s="28">
        <v>44907</v>
      </c>
      <c r="C27" s="3">
        <v>2313221.3910629991</v>
      </c>
      <c r="D27" s="3">
        <v>6930977.0805459972</v>
      </c>
      <c r="E27" s="3">
        <v>7046094.9471980082</v>
      </c>
      <c r="F27" s="3">
        <v>6605431.4526830092</v>
      </c>
      <c r="G27" s="3">
        <v>5332586.8424969977</v>
      </c>
      <c r="H27" s="3">
        <v>5276558.4421289954</v>
      </c>
      <c r="I27" s="3">
        <v>12666062.327819012</v>
      </c>
      <c r="J27" s="12">
        <v>11186615.965831986</v>
      </c>
      <c r="K27" s="12">
        <v>25987331.65025305</v>
      </c>
      <c r="L27" s="12">
        <v>69023382.235418335</v>
      </c>
      <c r="M27" s="12">
        <v>37943502.730191961</v>
      </c>
      <c r="N27" s="12">
        <v>40784215.044851124</v>
      </c>
      <c r="O27" s="12">
        <v>5496781.4090100098</v>
      </c>
      <c r="P27" s="37">
        <f t="shared" si="1"/>
        <v>236592761.51949146</v>
      </c>
      <c r="Q27" s="3"/>
      <c r="R27" s="3"/>
      <c r="S27" s="3"/>
      <c r="T27" s="3"/>
      <c r="U27" s="3"/>
    </row>
    <row r="28" spans="1:21" x14ac:dyDescent="0.3">
      <c r="A28" s="91" t="s">
        <v>206</v>
      </c>
      <c r="B28" s="28">
        <v>44936</v>
      </c>
      <c r="C28" s="3">
        <v>2171975.243358002</v>
      </c>
      <c r="D28" s="3">
        <v>6545065.6203290047</v>
      </c>
      <c r="E28" s="3">
        <v>6622657.8140319977</v>
      </c>
      <c r="F28" s="3">
        <v>6136950.6317839948</v>
      </c>
      <c r="G28" s="3">
        <v>4961803.8592739934</v>
      </c>
      <c r="H28" s="3">
        <v>4887011.4458110081</v>
      </c>
      <c r="I28" s="3">
        <v>11901375.227541994</v>
      </c>
      <c r="J28" s="3">
        <v>10585621.209216002</v>
      </c>
      <c r="K28" s="3">
        <v>24662024.406600043</v>
      </c>
      <c r="L28" s="3">
        <v>65672253.807971783</v>
      </c>
      <c r="M28" s="3">
        <v>36145253.54418803</v>
      </c>
      <c r="N28" s="3">
        <v>38616235.573225893</v>
      </c>
      <c r="O28" s="3">
        <v>5248049.3531950023</v>
      </c>
      <c r="P28" s="37">
        <f>SUM(C28:O28)</f>
        <v>224156277.73652673</v>
      </c>
      <c r="Q28" s="3"/>
      <c r="R28" s="3"/>
      <c r="S28" s="3"/>
      <c r="T28" s="3"/>
      <c r="U28" s="3"/>
    </row>
    <row r="29" spans="1:21" x14ac:dyDescent="0.3">
      <c r="B29" s="28">
        <v>44966</v>
      </c>
      <c r="C29" s="3">
        <v>2028072.2482419992</v>
      </c>
      <c r="D29" s="3">
        <v>6195043.9500100007</v>
      </c>
      <c r="E29" s="3">
        <v>6292638.7017149869</v>
      </c>
      <c r="F29" s="3">
        <v>5789147.0598260006</v>
      </c>
      <c r="G29" s="3">
        <v>4625320.483483999</v>
      </c>
      <c r="H29" s="3">
        <v>4622730.0206290083</v>
      </c>
      <c r="I29" s="3">
        <v>11189710.439624023</v>
      </c>
      <c r="J29" s="3">
        <v>9977384.0340549964</v>
      </c>
      <c r="K29" s="3">
        <v>23381398.838160947</v>
      </c>
      <c r="L29" s="3">
        <v>62820062.647090048</v>
      </c>
      <c r="M29" s="3">
        <v>34511228.117364913</v>
      </c>
      <c r="N29" s="3">
        <v>37082581.969629779</v>
      </c>
      <c r="O29" s="3">
        <v>5026530.4582970003</v>
      </c>
      <c r="P29" s="37">
        <f>SUM(C29:O29)</f>
        <v>213541848.96812773</v>
      </c>
      <c r="Q29" s="3"/>
      <c r="R29" s="3"/>
      <c r="S29" s="3"/>
      <c r="T29" s="8"/>
      <c r="U29" s="8"/>
    </row>
    <row r="30" spans="1:21" x14ac:dyDescent="0.3">
      <c r="B30" s="69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8"/>
      <c r="S30" s="8"/>
      <c r="T30" s="8"/>
      <c r="U30" s="8"/>
    </row>
    <row r="31" spans="1:21" x14ac:dyDescent="0.3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6"/>
      <c r="U32" s="36"/>
    </row>
    <row r="33" spans="2:22" x14ac:dyDescent="0.3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3">
      <c r="B34" s="8" t="s">
        <v>2</v>
      </c>
      <c r="C34" s="3">
        <v>25018.615681000003</v>
      </c>
      <c r="D34" s="3">
        <v>101274.35036800001</v>
      </c>
      <c r="E34" s="3">
        <v>93238.421595000007</v>
      </c>
      <c r="F34" s="3">
        <v>129438.26508799999</v>
      </c>
      <c r="G34" s="3">
        <v>92647.12131599999</v>
      </c>
      <c r="H34" s="3">
        <v>61720.072605000008</v>
      </c>
      <c r="I34" s="3">
        <v>258068.63651100005</v>
      </c>
      <c r="J34" s="3">
        <v>146519.29289899999</v>
      </c>
      <c r="K34" s="3">
        <v>360310.40365900006</v>
      </c>
      <c r="L34" s="3">
        <v>801381.54519500025</v>
      </c>
      <c r="M34" s="3">
        <v>401851.7489660001</v>
      </c>
      <c r="N34" s="3">
        <v>293393.05032600003</v>
      </c>
      <c r="O34" s="3">
        <v>103300.19855500001</v>
      </c>
      <c r="P34" s="3">
        <f>SUM(C34:O34)</f>
        <v>2868161.7227640008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29262.499136999999</v>
      </c>
      <c r="D35" s="3">
        <v>22023.338317000002</v>
      </c>
      <c r="E35" s="3">
        <v>45758.662304999998</v>
      </c>
      <c r="F35" s="3">
        <v>39569.832532999993</v>
      </c>
      <c r="G35" s="3">
        <v>64027.050936</v>
      </c>
      <c r="H35" s="3">
        <v>21680.600859999999</v>
      </c>
      <c r="I35" s="3">
        <v>78623.445835999984</v>
      </c>
      <c r="J35" s="3">
        <v>83785.918925999984</v>
      </c>
      <c r="K35" s="3">
        <v>236812.10397300005</v>
      </c>
      <c r="L35" s="3">
        <v>341713.1762680001</v>
      </c>
      <c r="M35" s="3">
        <v>205796.71720900002</v>
      </c>
      <c r="N35" s="3">
        <v>299577.84361299995</v>
      </c>
      <c r="O35" s="3">
        <v>0</v>
      </c>
      <c r="P35" s="3">
        <f>SUM(C35:O35)</f>
        <v>1468631.1899130002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4705.4024239999999</v>
      </c>
      <c r="D36" s="3">
        <v>10163.210716</v>
      </c>
      <c r="E36" s="3">
        <v>14370.323219000002</v>
      </c>
      <c r="F36" s="3">
        <v>9142.225676</v>
      </c>
      <c r="G36" s="3">
        <v>13151.434568999999</v>
      </c>
      <c r="H36" s="3">
        <v>17655.789891</v>
      </c>
      <c r="I36" s="3">
        <v>58277.830882000002</v>
      </c>
      <c r="J36" s="3">
        <v>43785.273470999993</v>
      </c>
      <c r="K36" s="3">
        <v>96866.088404999988</v>
      </c>
      <c r="L36" s="3">
        <v>235796.64565200001</v>
      </c>
      <c r="M36" s="3">
        <v>66490.879212</v>
      </c>
      <c r="N36" s="3">
        <v>89622.396496999994</v>
      </c>
      <c r="O36" s="3">
        <v>10358.742333</v>
      </c>
      <c r="P36" s="3">
        <f>SUM(C36:O36)</f>
        <v>670386.24294699996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33711.501763</v>
      </c>
      <c r="D37" s="3">
        <v>22120.933482</v>
      </c>
      <c r="E37" s="3">
        <v>17431.186023000002</v>
      </c>
      <c r="F37" s="3">
        <v>23689.115394</v>
      </c>
      <c r="G37" s="3">
        <v>2712.038274</v>
      </c>
      <c r="H37" s="3">
        <v>13791.730186999999</v>
      </c>
      <c r="I37" s="3">
        <v>21975.590978</v>
      </c>
      <c r="J37" s="3">
        <v>74036.243988000002</v>
      </c>
      <c r="K37" s="3">
        <v>75858.978610999999</v>
      </c>
      <c r="L37" s="3">
        <v>140931.81693800003</v>
      </c>
      <c r="M37" s="3">
        <v>159120.17405599999</v>
      </c>
      <c r="N37" s="3">
        <v>77249.319606999998</v>
      </c>
      <c r="O37" s="3">
        <v>7751.6630420000001</v>
      </c>
      <c r="P37" s="3">
        <f>SUM(C37:O37)</f>
        <v>670380.29234300007</v>
      </c>
      <c r="Q37" s="3"/>
      <c r="R37" s="3"/>
      <c r="S37" s="3"/>
      <c r="T37" s="3"/>
      <c r="U37" s="3"/>
      <c r="V37" s="36"/>
    </row>
    <row r="38" spans="2:22" s="13" customFormat="1" x14ac:dyDescent="0.3">
      <c r="B38" s="8" t="s">
        <v>93</v>
      </c>
      <c r="C38" s="3">
        <v>408295.17376699997</v>
      </c>
      <c r="D38" s="3">
        <v>1059342.1799710002</v>
      </c>
      <c r="E38" s="3">
        <v>983058.16899799963</v>
      </c>
      <c r="F38" s="3">
        <v>800895.59455400007</v>
      </c>
      <c r="G38" s="3">
        <v>352470.9219040001</v>
      </c>
      <c r="H38" s="3">
        <v>501515.92447399994</v>
      </c>
      <c r="I38" s="3">
        <v>1240694.5005529993</v>
      </c>
      <c r="J38" s="3">
        <v>1170793.5697119995</v>
      </c>
      <c r="K38" s="3">
        <v>1837587.9496059984</v>
      </c>
      <c r="L38" s="3">
        <v>4106501.1489349967</v>
      </c>
      <c r="M38" s="3">
        <v>2008940.2832530006</v>
      </c>
      <c r="N38" s="3">
        <v>2179924.9036419992</v>
      </c>
      <c r="O38" s="3">
        <v>411615.65928000002</v>
      </c>
      <c r="P38" s="3">
        <f>SUM(C38:O38)</f>
        <v>17061635.978648994</v>
      </c>
      <c r="Q38" s="3"/>
      <c r="R38" s="3"/>
      <c r="S38" s="3"/>
      <c r="T38" s="37"/>
      <c r="U38" s="37"/>
      <c r="V38" s="3"/>
    </row>
    <row r="39" spans="2:22" s="13" customFormat="1" x14ac:dyDescent="0.3">
      <c r="B39" s="8"/>
      <c r="C39" s="37">
        <f t="shared" ref="C39:O39" si="3">SUM(C34:C38)</f>
        <v>500993.19277199998</v>
      </c>
      <c r="D39" s="37">
        <f t="shared" si="3"/>
        <v>1214924.0128540001</v>
      </c>
      <c r="E39" s="37">
        <f t="shared" si="3"/>
        <v>1153856.7621399998</v>
      </c>
      <c r="F39" s="37">
        <f t="shared" si="3"/>
        <v>1002735.0332450001</v>
      </c>
      <c r="G39" s="37">
        <f t="shared" si="3"/>
        <v>525008.56699900003</v>
      </c>
      <c r="H39" s="37">
        <f t="shared" si="3"/>
        <v>616364.11801699991</v>
      </c>
      <c r="I39" s="37">
        <f t="shared" si="3"/>
        <v>1657640.0047599995</v>
      </c>
      <c r="J39" s="37">
        <f t="shared" si="3"/>
        <v>1518920.2989959996</v>
      </c>
      <c r="K39" s="37">
        <f t="shared" si="3"/>
        <v>2607435.5242539984</v>
      </c>
      <c r="L39" s="37">
        <f t="shared" si="3"/>
        <v>5626324.3329879977</v>
      </c>
      <c r="M39" s="37">
        <f t="shared" si="3"/>
        <v>2842199.8026960008</v>
      </c>
      <c r="N39" s="37">
        <f t="shared" si="3"/>
        <v>2939767.5136849992</v>
      </c>
      <c r="O39" s="37">
        <f t="shared" si="3"/>
        <v>533026.26321</v>
      </c>
      <c r="P39" s="37">
        <f>SUM(P34:P38)</f>
        <v>22739195.426615994</v>
      </c>
      <c r="Q39" s="37"/>
      <c r="R39" s="37"/>
      <c r="S39" s="37"/>
      <c r="T39" s="8"/>
      <c r="U39" s="8"/>
      <c r="V39" s="3"/>
    </row>
    <row r="40" spans="2:22" s="13" customFormat="1" x14ac:dyDescent="0.3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3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7321.985154</v>
      </c>
      <c r="M43" s="3">
        <v>9246.7732390000019</v>
      </c>
      <c r="N43" s="3">
        <v>0</v>
      </c>
      <c r="O43" s="3">
        <v>0</v>
      </c>
      <c r="P43" s="3">
        <f>SUM(C43:O43)</f>
        <v>16568.758393000004</v>
      </c>
      <c r="Q43" s="37"/>
      <c r="R43" s="37"/>
      <c r="S43" s="37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7"/>
      <c r="R44" s="37"/>
      <c r="S44" s="37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7"/>
      <c r="R45" s="37"/>
      <c r="S45" s="37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1436.1405480000003</v>
      </c>
      <c r="E46" s="3">
        <v>0</v>
      </c>
      <c r="F46" s="3">
        <v>0</v>
      </c>
      <c r="G46" s="3">
        <v>0</v>
      </c>
      <c r="H46" s="3">
        <v>864.36236500000007</v>
      </c>
      <c r="I46" s="3">
        <v>1648.1012899999998</v>
      </c>
      <c r="J46" s="3">
        <v>3642.5974829999996</v>
      </c>
      <c r="K46" s="3">
        <v>0</v>
      </c>
      <c r="L46" s="3">
        <v>19041.783720000003</v>
      </c>
      <c r="M46" s="3">
        <v>8839.9272230000006</v>
      </c>
      <c r="N46" s="3">
        <v>0</v>
      </c>
      <c r="O46" s="3">
        <v>0</v>
      </c>
      <c r="P46" s="3">
        <f>SUM(C46:O46)</f>
        <v>35472.912629000006</v>
      </c>
      <c r="Q46" s="37"/>
      <c r="R46" s="37"/>
      <c r="S46" s="37"/>
      <c r="T46" s="8"/>
      <c r="U46" s="8"/>
      <c r="V46" s="3"/>
    </row>
    <row r="47" spans="2:22" s="13" customFormat="1" x14ac:dyDescent="0.3">
      <c r="B47" s="8" t="s">
        <v>93</v>
      </c>
      <c r="C47" s="3">
        <v>409911.43177600001</v>
      </c>
      <c r="D47" s="3">
        <v>1055299.539377</v>
      </c>
      <c r="E47" s="3">
        <v>1027119.2862339998</v>
      </c>
      <c r="F47" s="3">
        <v>1091564.9180960003</v>
      </c>
      <c r="G47" s="3">
        <v>643084.79727800004</v>
      </c>
      <c r="H47" s="3">
        <v>498247.11724799994</v>
      </c>
      <c r="I47" s="3">
        <v>1787108.3426999999</v>
      </c>
      <c r="J47" s="3">
        <v>1209765.0230109994</v>
      </c>
      <c r="K47" s="3">
        <v>2248929.0064949994</v>
      </c>
      <c r="L47" s="3">
        <v>5226070.247015005</v>
      </c>
      <c r="M47" s="3">
        <v>2712840.1410740013</v>
      </c>
      <c r="N47" s="3">
        <v>2349502.8132380005</v>
      </c>
      <c r="O47" s="3">
        <v>470969.64930899994</v>
      </c>
      <c r="P47" s="3">
        <f>SUM(C47:O47)</f>
        <v>20730412.312851001</v>
      </c>
      <c r="Q47" s="37"/>
      <c r="R47" s="37"/>
      <c r="S47" s="37"/>
      <c r="T47" s="8"/>
      <c r="U47" s="8"/>
      <c r="V47" s="3"/>
    </row>
    <row r="48" spans="2:22" s="13" customFormat="1" x14ac:dyDescent="0.3">
      <c r="B48" s="8"/>
      <c r="C48" s="37">
        <f t="shared" ref="C48:O48" si="5">SUM(C43:C47)</f>
        <v>409911.43177600001</v>
      </c>
      <c r="D48" s="37">
        <f t="shared" si="5"/>
        <v>1056735.6799250001</v>
      </c>
      <c r="E48" s="37">
        <f t="shared" si="5"/>
        <v>1027119.2862339998</v>
      </c>
      <c r="F48" s="37">
        <f t="shared" si="5"/>
        <v>1091564.9180960003</v>
      </c>
      <c r="G48" s="37">
        <f t="shared" si="5"/>
        <v>643084.79727800004</v>
      </c>
      <c r="H48" s="37">
        <f t="shared" si="5"/>
        <v>499111.47961299994</v>
      </c>
      <c r="I48" s="37">
        <f t="shared" si="5"/>
        <v>1788756.4439899998</v>
      </c>
      <c r="J48" s="37">
        <f t="shared" si="5"/>
        <v>1213407.6204939994</v>
      </c>
      <c r="K48" s="37">
        <f t="shared" si="5"/>
        <v>2248929.0064949994</v>
      </c>
      <c r="L48" s="37">
        <f t="shared" si="5"/>
        <v>5252434.0158890048</v>
      </c>
      <c r="M48" s="37">
        <f t="shared" si="5"/>
        <v>2730926.8415360013</v>
      </c>
      <c r="N48" s="37">
        <f t="shared" si="5"/>
        <v>2349502.8132380005</v>
      </c>
      <c r="O48" s="37">
        <f t="shared" si="5"/>
        <v>470969.64930899994</v>
      </c>
      <c r="P48" s="37">
        <f>SUM(P43:P47)</f>
        <v>20782453.983873002</v>
      </c>
      <c r="Q48" s="37"/>
      <c r="R48" s="37"/>
      <c r="S48" s="37"/>
      <c r="T48" s="8"/>
      <c r="U48" s="8"/>
      <c r="V48" s="3"/>
    </row>
    <row r="49" spans="2:36" x14ac:dyDescent="0.3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zoomScaleNormal="100" workbookViewId="0">
      <selection activeCell="M19" sqref="M19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2.44140625" bestFit="1" customWidth="1"/>
    <col min="10" max="10" width="13.44140625" bestFit="1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7" max="17" width="20.88671875" bestFit="1" customWidth="1"/>
  </cols>
  <sheetData>
    <row r="2" spans="2:17" x14ac:dyDescent="0.3">
      <c r="K2" s="2" t="s">
        <v>207</v>
      </c>
    </row>
    <row r="3" spans="2:17" x14ac:dyDescent="0.3">
      <c r="B3" s="2" t="s">
        <v>162</v>
      </c>
      <c r="C3" s="2" t="s">
        <v>40</v>
      </c>
      <c r="D3" s="2" t="s">
        <v>163</v>
      </c>
    </row>
    <row r="4" spans="2:17" x14ac:dyDescent="0.3">
      <c r="B4" s="2" t="s">
        <v>144</v>
      </c>
      <c r="C4" s="3">
        <f>'Capa Final'!C11</f>
        <v>0</v>
      </c>
      <c r="D4" s="3">
        <f>C4</f>
        <v>0</v>
      </c>
      <c r="K4" s="58" t="s">
        <v>150</v>
      </c>
      <c r="L4" s="58" t="s">
        <v>151</v>
      </c>
      <c r="M4" s="58" t="s">
        <v>152</v>
      </c>
      <c r="N4" s="58" t="s">
        <v>153</v>
      </c>
      <c r="O4" s="58" t="s">
        <v>154</v>
      </c>
    </row>
    <row r="5" spans="2:17" x14ac:dyDescent="0.3">
      <c r="B5" s="2" t="s">
        <v>142</v>
      </c>
      <c r="C5" s="3">
        <f>'Capa Final'!C12</f>
        <v>8375449.1600000001</v>
      </c>
      <c r="D5" s="3">
        <f>D4+C5</f>
        <v>8375449.1600000001</v>
      </c>
      <c r="K5" s="59">
        <v>44979</v>
      </c>
      <c r="L5" s="60" t="s">
        <v>155</v>
      </c>
      <c r="M5" s="61">
        <v>1.1730000000000001E-2</v>
      </c>
      <c r="N5" s="62">
        <v>2.6962481199999999</v>
      </c>
      <c r="O5" s="63" t="s">
        <v>203</v>
      </c>
    </row>
    <row r="6" spans="2:17" x14ac:dyDescent="0.3">
      <c r="B6" s="2" t="s">
        <v>205</v>
      </c>
      <c r="C6" s="3">
        <v>0</v>
      </c>
      <c r="D6" s="3">
        <f t="shared" ref="D6:D12" si="0">D5-C6</f>
        <v>8375449.1600000001</v>
      </c>
      <c r="J6" s="5"/>
      <c r="K6" s="58" t="s">
        <v>156</v>
      </c>
      <c r="L6" s="58" t="s">
        <v>157</v>
      </c>
      <c r="M6" s="58" t="s">
        <v>158</v>
      </c>
      <c r="N6" s="58" t="s">
        <v>159</v>
      </c>
      <c r="O6" s="58" t="s">
        <v>160</v>
      </c>
    </row>
    <row r="7" spans="2:17" x14ac:dyDescent="0.3">
      <c r="B7" s="2" t="s">
        <v>164</v>
      </c>
      <c r="C7" s="3">
        <v>0</v>
      </c>
      <c r="D7" s="3">
        <f t="shared" si="0"/>
        <v>8375449.1600000001</v>
      </c>
      <c r="J7" s="5"/>
      <c r="K7" s="64" t="s">
        <v>204</v>
      </c>
      <c r="L7" s="60" t="s">
        <v>78</v>
      </c>
      <c r="M7" s="62">
        <v>2.39817664</v>
      </c>
      <c r="N7" s="62">
        <v>202.04996020999999</v>
      </c>
      <c r="O7" s="62">
        <v>0</v>
      </c>
      <c r="Q7" s="66"/>
    </row>
    <row r="8" spans="2:17" x14ac:dyDescent="0.3">
      <c r="B8" s="2" t="s">
        <v>145</v>
      </c>
      <c r="C8" s="3">
        <f>N5*'Histórico Integralizações'!D4</f>
        <v>2749226.6993098799</v>
      </c>
      <c r="D8" s="3">
        <f t="shared" si="0"/>
        <v>5626222.4606901202</v>
      </c>
      <c r="E8" s="5"/>
      <c r="J8" s="5"/>
    </row>
    <row r="9" spans="2:17" x14ac:dyDescent="0.3">
      <c r="B9" s="2" t="s">
        <v>146</v>
      </c>
      <c r="C9" s="3">
        <f>M7*'Histórico Integralizações'!D4</f>
        <v>2445298.4127993598</v>
      </c>
      <c r="D9" s="3">
        <f t="shared" si="0"/>
        <v>3180924.0478907605</v>
      </c>
      <c r="K9" s="58" t="s">
        <v>150</v>
      </c>
      <c r="L9" s="58" t="s">
        <v>151</v>
      </c>
      <c r="M9" s="58" t="s">
        <v>152</v>
      </c>
      <c r="N9" s="58" t="s">
        <v>153</v>
      </c>
      <c r="O9" s="58" t="s">
        <v>154</v>
      </c>
    </row>
    <row r="10" spans="2:17" x14ac:dyDescent="0.3">
      <c r="B10" s="2" t="s">
        <v>148</v>
      </c>
      <c r="C10" s="3">
        <f>'Capa Final'!E6-'Capa Final'!E7</f>
        <v>2754034.7777716815</v>
      </c>
      <c r="D10" s="3">
        <f t="shared" si="0"/>
        <v>426889.27011907892</v>
      </c>
      <c r="K10" s="59">
        <v>44979</v>
      </c>
      <c r="L10" s="60" t="s">
        <v>161</v>
      </c>
      <c r="M10" s="61">
        <v>0</v>
      </c>
      <c r="N10" s="62">
        <v>1.8823512099999999</v>
      </c>
      <c r="O10" s="63" t="s">
        <v>203</v>
      </c>
    </row>
    <row r="11" spans="2:17" x14ac:dyDescent="0.3">
      <c r="B11" s="2" t="s">
        <v>147</v>
      </c>
      <c r="C11" s="3">
        <f>N10*'Histórico Integralizações'!D5</f>
        <v>353712.61587109999</v>
      </c>
      <c r="D11" s="3">
        <f t="shared" si="0"/>
        <v>73176.654247978935</v>
      </c>
      <c r="K11" s="58" t="s">
        <v>156</v>
      </c>
      <c r="L11" s="58" t="s">
        <v>157</v>
      </c>
      <c r="M11" s="58" t="s">
        <v>158</v>
      </c>
      <c r="N11" s="58" t="s">
        <v>159</v>
      </c>
      <c r="O11" s="58" t="s">
        <v>160</v>
      </c>
    </row>
    <row r="12" spans="2:17" x14ac:dyDescent="0.3">
      <c r="B12" s="2" t="s">
        <v>165</v>
      </c>
      <c r="C12" s="3">
        <f>D11</f>
        <v>73176.654247978935</v>
      </c>
      <c r="D12" s="3">
        <f t="shared" si="0"/>
        <v>0</v>
      </c>
      <c r="K12" s="64" t="s">
        <v>204</v>
      </c>
      <c r="L12" s="60" t="s">
        <v>79</v>
      </c>
      <c r="M12" s="62">
        <v>0</v>
      </c>
      <c r="N12" s="62">
        <v>134.17903179999999</v>
      </c>
      <c r="O12" s="62">
        <v>0</v>
      </c>
    </row>
    <row r="16" spans="2:17" x14ac:dyDescent="0.3">
      <c r="K16" s="2" t="s">
        <v>208</v>
      </c>
    </row>
    <row r="18" spans="11:15" x14ac:dyDescent="0.3">
      <c r="K18" s="58" t="s">
        <v>150</v>
      </c>
      <c r="L18" s="58" t="s">
        <v>151</v>
      </c>
      <c r="M18" s="58" t="s">
        <v>152</v>
      </c>
      <c r="N18" s="58" t="s">
        <v>153</v>
      </c>
      <c r="O18" s="58" t="s">
        <v>154</v>
      </c>
    </row>
    <row r="19" spans="11:15" x14ac:dyDescent="0.3">
      <c r="K19" s="59">
        <f>K5</f>
        <v>44979</v>
      </c>
      <c r="L19" s="60" t="s">
        <v>155</v>
      </c>
      <c r="M19" s="61">
        <f>M5</f>
        <v>1.1730000000000001E-2</v>
      </c>
      <c r="N19" s="62">
        <f>N5</f>
        <v>2.6962481199999999</v>
      </c>
      <c r="O19" s="62" t="str">
        <f>O5</f>
        <v>-</v>
      </c>
    </row>
    <row r="20" spans="11:15" x14ac:dyDescent="0.3">
      <c r="K20" s="58" t="s">
        <v>156</v>
      </c>
      <c r="L20" s="58" t="s">
        <v>157</v>
      </c>
      <c r="M20" s="58" t="s">
        <v>158</v>
      </c>
      <c r="N20" s="58" t="s">
        <v>159</v>
      </c>
      <c r="O20" s="58" t="s">
        <v>160</v>
      </c>
    </row>
    <row r="21" spans="11:15" x14ac:dyDescent="0.3">
      <c r="K21" s="62" t="str">
        <f>K7</f>
        <v>DI (defasagem de 2 DU)</v>
      </c>
      <c r="L21" s="62" t="str">
        <f>L7</f>
        <v>CSCF11</v>
      </c>
      <c r="M21" s="62">
        <f>M7</f>
        <v>2.39817664</v>
      </c>
      <c r="N21" s="62">
        <v>199.34899666000001</v>
      </c>
      <c r="O21" s="62">
        <v>2.7009635450745124</v>
      </c>
    </row>
    <row r="23" spans="11:15" x14ac:dyDescent="0.3">
      <c r="K23" s="58" t="s">
        <v>150</v>
      </c>
      <c r="L23" s="58" t="s">
        <v>151</v>
      </c>
      <c r="M23" s="58" t="s">
        <v>152</v>
      </c>
      <c r="N23" s="58" t="s">
        <v>153</v>
      </c>
      <c r="O23" s="58" t="s">
        <v>154</v>
      </c>
    </row>
    <row r="24" spans="11:15" x14ac:dyDescent="0.3">
      <c r="K24" s="59">
        <f>K10</f>
        <v>44979</v>
      </c>
      <c r="L24" s="60" t="str">
        <f>L10</f>
        <v>2ª</v>
      </c>
      <c r="M24" s="61">
        <f>M10</f>
        <v>0</v>
      </c>
      <c r="N24" s="62">
        <f>N10</f>
        <v>1.8823512099999999</v>
      </c>
      <c r="O24" s="62" t="str">
        <f>O10</f>
        <v>-</v>
      </c>
    </row>
    <row r="25" spans="11:15" x14ac:dyDescent="0.3">
      <c r="K25" s="58" t="s">
        <v>156</v>
      </c>
      <c r="L25" s="58" t="s">
        <v>157</v>
      </c>
      <c r="M25" s="58" t="s">
        <v>158</v>
      </c>
      <c r="N25" s="58" t="s">
        <v>159</v>
      </c>
      <c r="O25" s="58" t="s">
        <v>160</v>
      </c>
    </row>
    <row r="26" spans="11:15" x14ac:dyDescent="0.3">
      <c r="K26" s="62" t="str">
        <f>K12</f>
        <v>DI (defasagem de 2 DU)</v>
      </c>
      <c r="L26" s="62" t="str">
        <f>L12</f>
        <v>CSCF21</v>
      </c>
      <c r="M26" s="62">
        <f>M12</f>
        <v>0</v>
      </c>
      <c r="N26" s="62">
        <v>133.78960785000001</v>
      </c>
      <c r="O26" s="62">
        <v>0.38942394895417454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X143"/>
  <sheetViews>
    <sheetView showGridLines="0" zoomScale="85" zoomScaleNormal="85" workbookViewId="0">
      <selection activeCell="D7" sqref="D7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7" bestFit="1" customWidth="1"/>
    <col min="4" max="4" width="12.6640625" style="13" bestFit="1" customWidth="1"/>
    <col min="5" max="5" width="1.88671875" style="21" customWidth="1"/>
    <col min="6" max="6" width="44.44140625" style="21" bestFit="1" customWidth="1"/>
    <col min="7" max="7" width="17" style="1" hidden="1" customWidth="1"/>
    <col min="8" max="20" width="17.88671875" style="1" hidden="1" customWidth="1"/>
    <col min="21" max="45" width="17.88671875" style="1" customWidth="1"/>
    <col min="46" max="46" width="12.109375" style="1" bestFit="1" customWidth="1"/>
    <col min="47" max="47" width="61.33203125" style="1" bestFit="1" customWidth="1"/>
    <col min="48" max="48" width="14.109375" style="1" customWidth="1"/>
    <col min="49" max="50" width="14.44140625" style="1" bestFit="1" customWidth="1"/>
    <col min="51" max="72" width="18" style="1" bestFit="1" customWidth="1"/>
    <col min="73" max="73" width="18" style="1" customWidth="1"/>
    <col min="74" max="74" width="18.109375" style="1" bestFit="1" customWidth="1"/>
    <col min="75" max="75" width="8" style="1" bestFit="1" customWidth="1"/>
    <col min="76" max="76" width="8.88671875" style="1" bestFit="1" customWidth="1"/>
    <col min="77" max="16384" width="8.6640625" style="1"/>
  </cols>
  <sheetData>
    <row r="1" spans="1:76" x14ac:dyDescent="0.3">
      <c r="BF1" s="91" t="s">
        <v>206</v>
      </c>
      <c r="BG1" s="91" t="s">
        <v>206</v>
      </c>
      <c r="BH1" s="91" t="s">
        <v>206</v>
      </c>
      <c r="BI1" s="91" t="s">
        <v>206</v>
      </c>
      <c r="BJ1" s="91" t="s">
        <v>206</v>
      </c>
      <c r="BK1" s="91" t="s">
        <v>206</v>
      </c>
      <c r="BL1" s="91" t="s">
        <v>206</v>
      </c>
      <c r="BM1" s="91" t="s">
        <v>206</v>
      </c>
      <c r="BN1" s="91" t="s">
        <v>206</v>
      </c>
      <c r="BO1" s="91" t="s">
        <v>206</v>
      </c>
      <c r="BP1" s="91" t="s">
        <v>206</v>
      </c>
      <c r="BQ1" s="91" t="s">
        <v>206</v>
      </c>
      <c r="BR1" s="91" t="s">
        <v>206</v>
      </c>
      <c r="BS1" s="91" t="s">
        <v>206</v>
      </c>
      <c r="BT1" s="91" t="s">
        <v>206</v>
      </c>
      <c r="BU1" s="72"/>
    </row>
    <row r="2" spans="1:76" x14ac:dyDescent="0.3">
      <c r="B2" s="43"/>
      <c r="C2" s="78"/>
      <c r="D2" s="43"/>
      <c r="E2" s="44"/>
      <c r="F2" s="13"/>
      <c r="G2" s="98" t="s">
        <v>116</v>
      </c>
      <c r="H2" s="98"/>
      <c r="I2" s="98"/>
      <c r="J2" s="98"/>
      <c r="K2" s="98"/>
      <c r="L2" s="98"/>
      <c r="M2" s="98"/>
      <c r="N2" s="98"/>
      <c r="O2" s="98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U2" s="72"/>
      <c r="AV2" s="76" t="s">
        <v>174</v>
      </c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94"/>
      <c r="BV2" s="99" t="s">
        <v>138</v>
      </c>
      <c r="BW2" s="100"/>
      <c r="BX2" s="101"/>
    </row>
    <row r="3" spans="1:76" x14ac:dyDescent="0.3">
      <c r="A3" s="38" t="s">
        <v>117</v>
      </c>
      <c r="B3" s="38" t="s">
        <v>118</v>
      </c>
      <c r="C3" s="73" t="s">
        <v>176</v>
      </c>
      <c r="D3" s="38" t="s">
        <v>173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S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O3" s="39">
        <f t="shared" si="2"/>
        <v>44805</v>
      </c>
      <c r="AP3" s="39">
        <f t="shared" si="2"/>
        <v>44835</v>
      </c>
      <c r="AQ3" s="39">
        <f t="shared" si="2"/>
        <v>44866</v>
      </c>
      <c r="AR3" s="39">
        <f t="shared" si="2"/>
        <v>44896</v>
      </c>
      <c r="AS3" s="39">
        <f t="shared" si="2"/>
        <v>44927</v>
      </c>
      <c r="AU3" s="44"/>
      <c r="AV3" s="76" t="s">
        <v>175</v>
      </c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94"/>
      <c r="BV3" s="52" t="s">
        <v>130</v>
      </c>
      <c r="BW3" s="52" t="s">
        <v>135</v>
      </c>
      <c r="BX3" s="52" t="s">
        <v>136</v>
      </c>
    </row>
    <row r="4" spans="1:76" x14ac:dyDescent="0.3">
      <c r="A4" s="45">
        <v>43770</v>
      </c>
      <c r="B4" s="3">
        <v>38924808.920000054</v>
      </c>
      <c r="C4" s="70">
        <f>(_xlfn.DAYS('Capa Final'!$C$3,'Razões de Garantia'!A4)/30)-1</f>
        <v>38.56666666666667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S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O4" s="50">
        <f t="shared" si="5"/>
        <v>34</v>
      </c>
      <c r="AP4" s="50">
        <f t="shared" si="5"/>
        <v>35</v>
      </c>
      <c r="AQ4" s="50">
        <f t="shared" si="5"/>
        <v>36</v>
      </c>
      <c r="AR4" s="50">
        <f t="shared" si="5"/>
        <v>37</v>
      </c>
      <c r="AS4" s="50">
        <f t="shared" si="5"/>
        <v>38</v>
      </c>
      <c r="AU4" s="74"/>
      <c r="AV4" s="75">
        <v>44237</v>
      </c>
      <c r="AW4" s="75">
        <v>44264</v>
      </c>
      <c r="AX4" s="75">
        <v>44298</v>
      </c>
      <c r="AY4" s="75">
        <v>44327</v>
      </c>
      <c r="AZ4" s="75">
        <v>44358</v>
      </c>
      <c r="BA4" s="75">
        <v>44389</v>
      </c>
      <c r="BB4" s="75">
        <v>44418</v>
      </c>
      <c r="BC4" s="75">
        <v>44449</v>
      </c>
      <c r="BD4" s="75">
        <v>44480</v>
      </c>
      <c r="BE4" s="75">
        <v>44511</v>
      </c>
      <c r="BF4" s="75">
        <v>44539</v>
      </c>
      <c r="BG4" s="75">
        <v>44572</v>
      </c>
      <c r="BH4" s="75">
        <v>44601</v>
      </c>
      <c r="BI4" s="75">
        <v>44630</v>
      </c>
      <c r="BJ4" s="75">
        <v>44662</v>
      </c>
      <c r="BK4" s="75">
        <v>44691</v>
      </c>
      <c r="BL4" s="75">
        <v>44721</v>
      </c>
      <c r="BM4" s="75">
        <v>44753</v>
      </c>
      <c r="BN4" s="75">
        <v>44782</v>
      </c>
      <c r="BO4" s="75">
        <v>44816</v>
      </c>
      <c r="BP4" s="75">
        <v>44845</v>
      </c>
      <c r="BQ4" s="75">
        <v>44875</v>
      </c>
      <c r="BR4" s="75">
        <v>44904</v>
      </c>
      <c r="BS4" s="75">
        <v>44936</v>
      </c>
      <c r="BT4" s="75">
        <v>44966</v>
      </c>
      <c r="BU4" s="95"/>
      <c r="BV4" s="53">
        <v>1</v>
      </c>
      <c r="BW4" s="54">
        <v>7.4999999999999997E-3</v>
      </c>
      <c r="BX4" s="54">
        <v>0.01</v>
      </c>
    </row>
    <row r="5" spans="1:76" x14ac:dyDescent="0.3">
      <c r="A5" s="45">
        <v>43800</v>
      </c>
      <c r="B5" s="3">
        <v>124635322.41000016</v>
      </c>
      <c r="C5" s="70">
        <f>(_xlfn.DAYS('Capa Final'!$C$3,'Razões de Garantia'!A5)/30)-1</f>
        <v>37.56666666666667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v>836364.93918900006</v>
      </c>
      <c r="AO5" s="21">
        <v>839314.38736099994</v>
      </c>
      <c r="AP5" s="21">
        <v>843410.85284100007</v>
      </c>
      <c r="AQ5" s="21">
        <v>850271.92843300011</v>
      </c>
      <c r="AR5" s="21">
        <v>852857.74570899992</v>
      </c>
      <c r="AS5" s="21">
        <f>SUM('Capa Final'!$C$37:$C$38)+SUM('Capa Final'!$C$46:$C$47)</f>
        <v>851918.10730599996</v>
      </c>
      <c r="AT5" s="46"/>
      <c r="AU5" s="39" t="s">
        <v>177</v>
      </c>
      <c r="AV5" s="21">
        <f>U6+U15+U24+U33+U42+U51+U60</f>
        <v>320668.64416699996</v>
      </c>
      <c r="AW5" s="21">
        <f>V6+V15+V24+V33+V42+V51+V60+V69</f>
        <v>250731.07251400003</v>
      </c>
      <c r="AX5" s="21">
        <f>W6+W15+W24+W33+W42+W51+W60+W69+W78</f>
        <v>1341038.3369740001</v>
      </c>
      <c r="AY5" s="21">
        <f>X6+X15+X24+X33+X42+X51+X60+X69+X78+X87</f>
        <v>1498867.1788479998</v>
      </c>
      <c r="AZ5" s="21">
        <f>Y6+Y15+Y24+Y33+Y42+Y51+Y60+Y69+Y78+Y87+Y96</f>
        <v>1862368.5810830002</v>
      </c>
      <c r="BA5" s="21">
        <f>Z6+Z15+Z24+Z33+Z42+Z51+Z60+Z69+Z78+Z87+Z96+Z105</f>
        <v>1661974.8797579999</v>
      </c>
      <c r="BB5" s="21">
        <f t="shared" ref="BB5:BT5" si="7">AA6+AA15+AA24+AA33+AA42+AA51+AA60+AA69+AA78+AA87+AA96+AA105+AA114</f>
        <v>3354751.1847930001</v>
      </c>
      <c r="BC5" s="21">
        <f t="shared" si="7"/>
        <v>2138008.7625599997</v>
      </c>
      <c r="BD5" s="21">
        <f t="shared" si="7"/>
        <v>1799977.3733440002</v>
      </c>
      <c r="BE5" s="21">
        <f t="shared" si="7"/>
        <v>2137182.3154779999</v>
      </c>
      <c r="BF5" s="21">
        <f t="shared" si="7"/>
        <v>1256482.1290470001</v>
      </c>
      <c r="BG5" s="21">
        <f t="shared" si="7"/>
        <v>1227886.762506</v>
      </c>
      <c r="BH5" s="21">
        <f t="shared" si="7"/>
        <v>1350405.9052700002</v>
      </c>
      <c r="BI5" s="21">
        <f t="shared" si="7"/>
        <v>991176.22347900004</v>
      </c>
      <c r="BJ5" s="21">
        <f t="shared" si="7"/>
        <v>951026.37112900009</v>
      </c>
      <c r="BK5" s="21">
        <f t="shared" si="7"/>
        <v>1247335.071767</v>
      </c>
      <c r="BL5" s="21">
        <f t="shared" si="7"/>
        <v>801214.25869599998</v>
      </c>
      <c r="BM5" s="21">
        <f t="shared" si="7"/>
        <v>799373.37436100002</v>
      </c>
      <c r="BN5" s="21">
        <f t="shared" si="7"/>
        <v>1306261.3744880001</v>
      </c>
      <c r="BO5" s="21">
        <f t="shared" si="7"/>
        <v>869096.86458100006</v>
      </c>
      <c r="BP5" s="21">
        <f t="shared" si="7"/>
        <v>911255.75852300005</v>
      </c>
      <c r="BQ5" s="21">
        <f t="shared" si="7"/>
        <v>361014.90022199997</v>
      </c>
      <c r="BR5" s="21">
        <f t="shared" si="7"/>
        <v>699757.51509400003</v>
      </c>
      <c r="BS5" s="21">
        <f t="shared" si="7"/>
        <v>925022.49587800005</v>
      </c>
      <c r="BT5" s="21">
        <f t="shared" si="7"/>
        <v>705853.20497199998</v>
      </c>
      <c r="BU5" s="21"/>
      <c r="BV5" s="53">
        <v>2</v>
      </c>
      <c r="BW5" s="54">
        <v>7.4999999999999997E-3</v>
      </c>
      <c r="BX5" s="54">
        <v>0.01</v>
      </c>
    </row>
    <row r="6" spans="1:76" x14ac:dyDescent="0.3">
      <c r="A6" s="45">
        <v>43831</v>
      </c>
      <c r="B6" s="3">
        <v>103189240.17000008</v>
      </c>
      <c r="C6" s="70">
        <f>(_xlfn.DAYS('Capa Final'!$C$3,'Razões de Garantia'!A6)/30)-1</f>
        <v>36.533333333333331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v>49829.888073000002</v>
      </c>
      <c r="AO6" s="21">
        <v>39651.166831000002</v>
      </c>
      <c r="AP6" s="21">
        <v>40278.900588999997</v>
      </c>
      <c r="AQ6" s="21">
        <v>35081.651354000001</v>
      </c>
      <c r="AR6" s="21">
        <v>37775.583294000004</v>
      </c>
      <c r="AS6" s="21">
        <f>'Capa Final'!$C$37+'Capa Final'!$C$46</f>
        <v>33711.501763</v>
      </c>
      <c r="AT6" s="46"/>
      <c r="AU6" s="39" t="s">
        <v>178</v>
      </c>
      <c r="AV6" s="21">
        <v>258854600.16</v>
      </c>
      <c r="AW6" s="21">
        <v>276666536.63</v>
      </c>
      <c r="AX6" s="21">
        <v>340605076.26999998</v>
      </c>
      <c r="AY6" s="21">
        <v>534095993.26996452</v>
      </c>
      <c r="AZ6" s="21">
        <v>641520194.49852157</v>
      </c>
      <c r="BA6" s="21">
        <v>731957639.70347869</v>
      </c>
      <c r="BB6" s="21">
        <v>692651836.25301754</v>
      </c>
      <c r="BC6" s="21">
        <v>632286018.95792949</v>
      </c>
      <c r="BD6" s="21">
        <v>561543827.23952401</v>
      </c>
      <c r="BE6" s="21">
        <v>492625722.73133183</v>
      </c>
      <c r="BF6" s="21">
        <v>436877562.51072329</v>
      </c>
      <c r="BG6" s="21">
        <v>387724191.16031766</v>
      </c>
      <c r="BH6" s="21">
        <v>356848780.04299706</v>
      </c>
      <c r="BI6" s="21">
        <v>333336028.03410596</v>
      </c>
      <c r="BJ6" s="21">
        <v>322333213.14798307</v>
      </c>
      <c r="BK6" s="21">
        <v>314777321.35609931</v>
      </c>
      <c r="BL6" s="21">
        <v>307736343.09950012</v>
      </c>
      <c r="BM6" s="21">
        <v>300649038.51759779</v>
      </c>
      <c r="BN6" s="21">
        <v>291587057.56152797</v>
      </c>
      <c r="BO6" s="21">
        <v>281072020.94402742</v>
      </c>
      <c r="BP6" s="21">
        <v>271266015.99371743</v>
      </c>
      <c r="BQ6" s="21">
        <v>261861599.64884424</v>
      </c>
      <c r="BR6" s="21">
        <v>251848174.23589024</v>
      </c>
      <c r="BS6" s="21">
        <v>242960409.63805017</v>
      </c>
      <c r="BT6" s="21">
        <f>SUM('Capa Final'!$C$26:$O$26)</f>
        <v>242960409.63805017</v>
      </c>
      <c r="BU6" s="21"/>
      <c r="BV6" s="53">
        <v>3</v>
      </c>
      <c r="BW6" s="54">
        <v>7.4999999999999997E-3</v>
      </c>
      <c r="BX6" s="54">
        <v>0.01</v>
      </c>
    </row>
    <row r="7" spans="1:76" x14ac:dyDescent="0.3">
      <c r="A7" s="48">
        <v>43862</v>
      </c>
      <c r="B7" s="12">
        <v>94394904.259999782</v>
      </c>
      <c r="C7" s="70">
        <f>(_xlfn.DAYS('Capa Final'!$C$3,'Razões de Garantia'!A7)/30)-1</f>
        <v>35.5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:AO7" si="14">AN5/$B$4</f>
        <v>2.1486680664455755E-2</v>
      </c>
      <c r="AO7" s="47">
        <f t="shared" si="14"/>
        <v>2.1562453629149346E-2</v>
      </c>
      <c r="AP7" s="47">
        <f t="shared" ref="AP7:AQ7" si="15">AP5/$B$4</f>
        <v>2.1667694106717761E-2</v>
      </c>
      <c r="AQ7" s="47">
        <f t="shared" si="15"/>
        <v>2.1843958956369335E-2</v>
      </c>
      <c r="AR7" s="47">
        <f t="shared" ref="AR7:AS7" si="16">AR5/$B$4</f>
        <v>2.1910390041010346E-2</v>
      </c>
      <c r="AS7" s="47">
        <f t="shared" si="16"/>
        <v>2.1886250207596363E-2</v>
      </c>
      <c r="AT7" s="46"/>
      <c r="AU7" s="39" t="s">
        <v>91</v>
      </c>
      <c r="AV7" s="47">
        <f t="shared" ref="AV7" si="17">(1-(1-AV5/AV6)^12)</f>
        <v>1.4764711927873653E-2</v>
      </c>
      <c r="AW7" s="47">
        <f t="shared" ref="AW7:BB7" si="18">(1-(1-AW5/AW6)^12)</f>
        <v>1.082104523660643E-2</v>
      </c>
      <c r="AX7" s="47">
        <f t="shared" si="18"/>
        <v>4.6236878011417071E-2</v>
      </c>
      <c r="AY7" s="47">
        <f t="shared" si="18"/>
        <v>3.3161392236441434E-2</v>
      </c>
      <c r="AZ7" s="47">
        <f t="shared" si="18"/>
        <v>3.428578062092591E-2</v>
      </c>
      <c r="BA7" s="47">
        <f t="shared" si="18"/>
        <v>2.6909360975854502E-2</v>
      </c>
      <c r="BB7" s="47">
        <f t="shared" si="18"/>
        <v>5.659662741787741E-2</v>
      </c>
      <c r="BC7" s="47">
        <f t="shared" ref="BC7:BD7" si="19">(1-(1-BC5/BC6)^12)</f>
        <v>3.9830548046030145E-2</v>
      </c>
      <c r="BD7" s="47">
        <f t="shared" si="19"/>
        <v>3.7793969442344255E-2</v>
      </c>
      <c r="BE7" s="47">
        <f t="shared" ref="BE7:BF7" si="20">(1-(1-BE5/BE6)^12)</f>
        <v>5.0835773711730758E-2</v>
      </c>
      <c r="BF7" s="47">
        <f t="shared" si="20"/>
        <v>3.3971881281353977E-2</v>
      </c>
      <c r="BG7" s="47">
        <f t="shared" ref="BG7:BH7" si="21">(1-(1-BG5/BG6)^12)</f>
        <v>3.7347897462907564E-2</v>
      </c>
      <c r="BH7" s="47">
        <f t="shared" si="21"/>
        <v>4.4477694615236318E-2</v>
      </c>
      <c r="BI7" s="47">
        <f t="shared" ref="BI7:BJ7" si="22">(1-(1-BI5/BI6)^12)</f>
        <v>3.510424691080849E-2</v>
      </c>
      <c r="BJ7" s="47">
        <f t="shared" si="22"/>
        <v>3.4836413193008009E-2</v>
      </c>
      <c r="BK7" s="47">
        <f t="shared" ref="BK7:BL7" si="23">(1-(1-BK5/BK6)^12)</f>
        <v>4.6528366076194705E-2</v>
      </c>
      <c r="BL7" s="47">
        <f t="shared" si="23"/>
        <v>3.0799357450306375E-2</v>
      </c>
      <c r="BM7" s="47">
        <f t="shared" ref="BM7:BN7" si="24">(1-(1-BM5/BM6)^12)</f>
        <v>3.1443440938323852E-2</v>
      </c>
      <c r="BN7" s="47">
        <f t="shared" si="24"/>
        <v>5.2453031607581746E-2</v>
      </c>
      <c r="BO7" s="47">
        <f t="shared" ref="BO7" si="25">(1-(1-BO5/BO6)^12)</f>
        <v>3.6480382823760316E-2</v>
      </c>
      <c r="BP7" s="47">
        <f>(1-(1-BP5/BP6)^12)</f>
        <v>3.9574725948084644E-2</v>
      </c>
      <c r="BQ7" s="47">
        <f>(1-(1-BQ5/BQ6)^12)</f>
        <v>1.6418903275551289E-2</v>
      </c>
      <c r="BR7" s="47">
        <f>(1-(1-BR5/BR6)^12)</f>
        <v>3.2837043702224289E-2</v>
      </c>
      <c r="BS7" s="47">
        <f>(1-(1-BS5/BS6)^12)</f>
        <v>4.4742901155400916E-2</v>
      </c>
      <c r="BT7" s="47">
        <f>(1-(1-BT5/BT6)^12)</f>
        <v>3.4310928187888945E-2</v>
      </c>
      <c r="BU7" s="47"/>
      <c r="BV7" s="53">
        <v>4</v>
      </c>
      <c r="BW7" s="54">
        <v>7.4999999999999997E-3</v>
      </c>
      <c r="BX7" s="54">
        <v>0.01</v>
      </c>
    </row>
    <row r="8" spans="1:76" x14ac:dyDescent="0.3">
      <c r="A8" s="48">
        <v>43891</v>
      </c>
      <c r="B8" s="12">
        <v>58594601.409999996</v>
      </c>
      <c r="C8" s="70">
        <f>(_xlfn.DAYS('Capa Final'!$C$3,'Razões de Garantia'!A8)/30)-1</f>
        <v>34.533333333333331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S8" si="26">IF(H7&gt;VLOOKUP(H4,$BV$3:$BX$75,2,0),"Gatilho atingido","Gatilho não atingido")</f>
        <v>Gatilho não atingido</v>
      </c>
      <c r="I8" s="47" t="str">
        <f t="shared" si="26"/>
        <v>Gatilho não atingido</v>
      </c>
      <c r="J8" s="47" t="str">
        <f t="shared" si="26"/>
        <v>Gatilho não atingido</v>
      </c>
      <c r="K8" s="47" t="str">
        <f t="shared" si="26"/>
        <v>Gatilho não atingido</v>
      </c>
      <c r="L8" s="47" t="str">
        <f t="shared" si="26"/>
        <v>Gatilho não atingido</v>
      </c>
      <c r="M8" s="47" t="str">
        <f t="shared" si="26"/>
        <v>Gatilho não atingido</v>
      </c>
      <c r="N8" s="47" t="str">
        <f t="shared" si="26"/>
        <v>Gatilho não atingido</v>
      </c>
      <c r="O8" s="47" t="str">
        <f t="shared" si="26"/>
        <v>Gatilho não atingido</v>
      </c>
      <c r="P8" s="47" t="str">
        <f t="shared" si="26"/>
        <v>Gatilho não atingido</v>
      </c>
      <c r="Q8" s="47" t="str">
        <f t="shared" si="26"/>
        <v>Gatilho não atingido</v>
      </c>
      <c r="R8" s="47" t="str">
        <f t="shared" si="26"/>
        <v>Gatilho não atingido</v>
      </c>
      <c r="S8" s="47" t="str">
        <f t="shared" si="26"/>
        <v>Gatilho não atingido</v>
      </c>
      <c r="T8" s="47" t="str">
        <f t="shared" si="26"/>
        <v>Gatilho não atingido</v>
      </c>
      <c r="U8" s="47" t="str">
        <f t="shared" si="26"/>
        <v>Gatilho não atingido</v>
      </c>
      <c r="V8" s="47" t="str">
        <f t="shared" si="26"/>
        <v>Gatilho não atingido</v>
      </c>
      <c r="W8" s="47" t="str">
        <f t="shared" si="26"/>
        <v>Gatilho não atingido</v>
      </c>
      <c r="X8" s="47" t="str">
        <f t="shared" si="26"/>
        <v>Gatilho não atingido</v>
      </c>
      <c r="Y8" s="47" t="str">
        <f t="shared" si="26"/>
        <v>Gatilho não atingido</v>
      </c>
      <c r="Z8" s="47" t="str">
        <f t="shared" si="26"/>
        <v>Gatilho não atingido</v>
      </c>
      <c r="AA8" s="47" t="str">
        <f t="shared" si="26"/>
        <v>Gatilho não atingido</v>
      </c>
      <c r="AB8" s="47" t="str">
        <f t="shared" si="26"/>
        <v>Gatilho não atingido</v>
      </c>
      <c r="AC8" s="47" t="str">
        <f t="shared" si="26"/>
        <v>Gatilho não atingido</v>
      </c>
      <c r="AD8" s="47" t="str">
        <f t="shared" si="26"/>
        <v>Gatilho não atingido</v>
      </c>
      <c r="AE8" s="47" t="str">
        <f t="shared" si="26"/>
        <v>Gatilho não atingido</v>
      </c>
      <c r="AF8" s="47" t="str">
        <f t="shared" si="26"/>
        <v>Gatilho não atingido</v>
      </c>
      <c r="AG8" s="47" t="str">
        <f t="shared" si="26"/>
        <v>Gatilho não atingido</v>
      </c>
      <c r="AH8" s="47" t="str">
        <f t="shared" si="26"/>
        <v>Gatilho não atingido</v>
      </c>
      <c r="AI8" s="47" t="str">
        <f t="shared" si="26"/>
        <v>Gatilho não atingido</v>
      </c>
      <c r="AJ8" s="47" t="str">
        <f t="shared" si="26"/>
        <v>Gatilho não atingido</v>
      </c>
      <c r="AK8" s="47" t="str">
        <f t="shared" si="26"/>
        <v>Gatilho não atingido</v>
      </c>
      <c r="AL8" s="47" t="str">
        <f t="shared" si="26"/>
        <v>Gatilho não atingido</v>
      </c>
      <c r="AM8" s="47" t="str">
        <f t="shared" si="26"/>
        <v>Gatilho não atingido</v>
      </c>
      <c r="AN8" s="47" t="str">
        <f t="shared" si="26"/>
        <v>Gatilho não atingido</v>
      </c>
      <c r="AO8" s="47" t="str">
        <f t="shared" si="26"/>
        <v>Gatilho não atingido</v>
      </c>
      <c r="AP8" s="47" t="str">
        <f t="shared" si="26"/>
        <v>Gatilho não atingido</v>
      </c>
      <c r="AQ8" s="47" t="str">
        <f t="shared" si="26"/>
        <v>Gatilho não atingido</v>
      </c>
      <c r="AR8" s="47" t="str">
        <f t="shared" si="26"/>
        <v>Gatilho não atingido</v>
      </c>
      <c r="AS8" s="47" t="str">
        <f t="shared" si="26"/>
        <v>Gatilho não atingido</v>
      </c>
      <c r="AT8" s="46"/>
      <c r="AU8" s="38" t="s">
        <v>120</v>
      </c>
      <c r="AV8" s="47" t="s">
        <v>122</v>
      </c>
      <c r="AW8" s="47" t="s">
        <v>122</v>
      </c>
      <c r="AX8" s="47" t="s">
        <v>122</v>
      </c>
      <c r="AY8" s="47">
        <f t="shared" ref="AY8:BS8" si="27">AVERAGE(AW7:AY7)</f>
        <v>3.0073105161488312E-2</v>
      </c>
      <c r="AZ8" s="47">
        <f t="shared" si="27"/>
        <v>3.7894683622928138E-2</v>
      </c>
      <c r="BA8" s="47">
        <f t="shared" si="27"/>
        <v>3.1452177944407279E-2</v>
      </c>
      <c r="BB8" s="47">
        <f t="shared" si="27"/>
        <v>3.9263923004885938E-2</v>
      </c>
      <c r="BC8" s="47">
        <f t="shared" si="27"/>
        <v>4.1112178813254019E-2</v>
      </c>
      <c r="BD8" s="47">
        <f t="shared" si="27"/>
        <v>4.474038163541727E-2</v>
      </c>
      <c r="BE8" s="47">
        <f t="shared" si="27"/>
        <v>4.2820097066701722E-2</v>
      </c>
      <c r="BF8" s="47">
        <f t="shared" si="27"/>
        <v>4.0867208145142997E-2</v>
      </c>
      <c r="BG8" s="47">
        <f t="shared" si="27"/>
        <v>4.0718517485330764E-2</v>
      </c>
      <c r="BH8" s="47">
        <f t="shared" si="27"/>
        <v>3.8599157786499284E-2</v>
      </c>
      <c r="BI8" s="47">
        <f t="shared" si="27"/>
        <v>3.897661299631746E-2</v>
      </c>
      <c r="BJ8" s="47">
        <f t="shared" si="27"/>
        <v>3.8139451573017603E-2</v>
      </c>
      <c r="BK8" s="47">
        <f t="shared" si="27"/>
        <v>3.8823008726670404E-2</v>
      </c>
      <c r="BL8" s="47">
        <f t="shared" si="27"/>
        <v>3.7388045573169694E-2</v>
      </c>
      <c r="BM8" s="47">
        <f t="shared" si="27"/>
        <v>3.6257054821608313E-2</v>
      </c>
      <c r="BN8" s="47">
        <f t="shared" si="27"/>
        <v>3.823194333207066E-2</v>
      </c>
      <c r="BO8" s="47">
        <f t="shared" si="27"/>
        <v>4.0125618456555302E-2</v>
      </c>
      <c r="BP8" s="47">
        <f t="shared" si="27"/>
        <v>4.2836046793142235E-2</v>
      </c>
      <c r="BQ8" s="47">
        <f t="shared" si="27"/>
        <v>3.0824670682465416E-2</v>
      </c>
      <c r="BR8" s="47">
        <f t="shared" si="27"/>
        <v>2.9610224308620075E-2</v>
      </c>
      <c r="BS8" s="47">
        <f t="shared" si="27"/>
        <v>3.1332949377725496E-2</v>
      </c>
      <c r="BT8" s="47">
        <f>AVERAGE(BR7:BT7)</f>
        <v>3.729695768183805E-2</v>
      </c>
      <c r="BU8" s="47"/>
      <c r="BV8" s="53">
        <v>5</v>
      </c>
      <c r="BW8" s="54">
        <v>9.7999999999999997E-3</v>
      </c>
      <c r="BX8" s="54">
        <v>1.2800000000000001E-2</v>
      </c>
    </row>
    <row r="9" spans="1:76" x14ac:dyDescent="0.3">
      <c r="A9" s="48">
        <v>43922</v>
      </c>
      <c r="B9" s="12">
        <v>35443379.209999986</v>
      </c>
      <c r="C9" s="70">
        <f>(_xlfn.DAYS('Capa Final'!$C$3,'Razões de Garantia'!A9)/30)-1</f>
        <v>33.5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8">IF(H7&gt;VLOOKUP(H4,$BV$3:$BX$75,3,0),"Gatilho atingido","Gatilho não atingido")</f>
        <v>Gatilho não atingido</v>
      </c>
      <c r="I9" s="47" t="str">
        <f t="shared" si="28"/>
        <v>Gatilho não atingido</v>
      </c>
      <c r="J9" s="47" t="str">
        <f t="shared" si="28"/>
        <v>Gatilho não atingido</v>
      </c>
      <c r="K9" s="47" t="str">
        <f t="shared" si="28"/>
        <v>Gatilho não atingido</v>
      </c>
      <c r="L9" s="47" t="str">
        <f t="shared" si="28"/>
        <v>Gatilho não atingido</v>
      </c>
      <c r="M9" s="47" t="str">
        <f t="shared" si="28"/>
        <v>Gatilho não atingido</v>
      </c>
      <c r="N9" s="47" t="str">
        <f t="shared" si="28"/>
        <v>Gatilho não atingido</v>
      </c>
      <c r="O9" s="47" t="str">
        <f t="shared" si="28"/>
        <v>Gatilho não atingido</v>
      </c>
      <c r="P9" s="47" t="str">
        <f t="shared" si="28"/>
        <v>Gatilho não atingido</v>
      </c>
      <c r="Q9" s="47" t="str">
        <f t="shared" si="28"/>
        <v>Gatilho não atingido</v>
      </c>
      <c r="R9" s="47" t="str">
        <f t="shared" si="28"/>
        <v>Gatilho não atingido</v>
      </c>
      <c r="S9" s="47" t="str">
        <f t="shared" si="28"/>
        <v>Gatilho não atingido</v>
      </c>
      <c r="T9" s="47" t="str">
        <f t="shared" si="28"/>
        <v>Gatilho não atingido</v>
      </c>
      <c r="U9" s="47" t="str">
        <f t="shared" si="28"/>
        <v>Gatilho não atingido</v>
      </c>
      <c r="V9" s="47" t="str">
        <f t="shared" si="28"/>
        <v>Gatilho não atingido</v>
      </c>
      <c r="W9" s="47" t="str">
        <f t="shared" si="28"/>
        <v>Gatilho não atingido</v>
      </c>
      <c r="X9" s="47" t="str">
        <f t="shared" si="28"/>
        <v>Gatilho não atingido</v>
      </c>
      <c r="Y9" s="47" t="str">
        <f t="shared" ref="Y9" si="29">IF(Y7&gt;VLOOKUP(Y4,$BV$3:$BX$75,3,0),"Gatilho atingido","Gatilho não atingido")</f>
        <v>Gatilho não atingido</v>
      </c>
      <c r="Z9" s="47" t="str">
        <f t="shared" ref="Z9:AD9" si="30">IF(Z7&gt;VLOOKUP(Z4,$BV$3:$BX$75,3,0),"Gatilho atingido","Gatilho não atingido")</f>
        <v>Gatilho não atingido</v>
      </c>
      <c r="AA9" s="47" t="str">
        <f t="shared" si="30"/>
        <v>Gatilho não atingido</v>
      </c>
      <c r="AB9" s="47" t="str">
        <f t="shared" si="30"/>
        <v>Gatilho não atingido</v>
      </c>
      <c r="AC9" s="47" t="str">
        <f t="shared" si="30"/>
        <v>Gatilho não atingido</v>
      </c>
      <c r="AD9" s="47" t="str">
        <f t="shared" si="30"/>
        <v>Gatilho não atingido</v>
      </c>
      <c r="AE9" s="47" t="str">
        <f t="shared" ref="AE9:AJ9" si="31">IF(AE7&gt;VLOOKUP(AE4,$BV$3:$BX$75,3,0),"Gatilho atingido","Gatilho não atingido")</f>
        <v>Gatilho não atingido</v>
      </c>
      <c r="AF9" s="47" t="str">
        <f t="shared" si="31"/>
        <v>Gatilho não atingido</v>
      </c>
      <c r="AG9" s="47" t="str">
        <f t="shared" si="31"/>
        <v>Gatilho não atingido</v>
      </c>
      <c r="AH9" s="47" t="str">
        <f t="shared" si="31"/>
        <v>Gatilho não atingido</v>
      </c>
      <c r="AI9" s="47" t="str">
        <f t="shared" si="31"/>
        <v>Gatilho não atingido</v>
      </c>
      <c r="AJ9" s="47" t="str">
        <f t="shared" si="31"/>
        <v>Gatilho não atingido</v>
      </c>
      <c r="AK9" s="47" t="str">
        <f t="shared" ref="AK9:AL9" si="32">IF(AK7&gt;VLOOKUP(AK4,$BV$3:$BX$75,3,0),"Gatilho atingido","Gatilho não atingido")</f>
        <v>Gatilho não atingido</v>
      </c>
      <c r="AL9" s="47" t="str">
        <f t="shared" si="32"/>
        <v>Gatilho não atingido</v>
      </c>
      <c r="AM9" s="47" t="str">
        <f t="shared" ref="AM9:AN9" si="33">IF(AM7&gt;VLOOKUP(AM4,$BV$3:$BX$75,3,0),"Gatilho atingido","Gatilho não atingido")</f>
        <v>Gatilho não atingido</v>
      </c>
      <c r="AN9" s="47" t="str">
        <f t="shared" si="33"/>
        <v>Gatilho não atingido</v>
      </c>
      <c r="AO9" s="47" t="str">
        <f t="shared" ref="AO9:AP9" si="34">IF(AO7&gt;VLOOKUP(AO4,$BV$3:$BX$75,3,0),"Gatilho atingido","Gatilho não atingido")</f>
        <v>Gatilho não atingido</v>
      </c>
      <c r="AP9" s="47" t="str">
        <f t="shared" si="34"/>
        <v>Gatilho não atingido</v>
      </c>
      <c r="AQ9" s="47" t="str">
        <f t="shared" ref="AQ9:AR9" si="35">IF(AQ7&gt;VLOOKUP(AQ4,$BV$3:$BX$75,3,0),"Gatilho atingido","Gatilho não atingido")</f>
        <v>Gatilho não atingido</v>
      </c>
      <c r="AR9" s="47" t="str">
        <f t="shared" si="35"/>
        <v>Gatilho não atingido</v>
      </c>
      <c r="AS9" s="47" t="str">
        <f t="shared" ref="AS9" si="36">IF(AS7&gt;VLOOKUP(AS4,$BV$3:$BX$75,3,0),"Gatilho atingido","Gatilho não atingido")</f>
        <v>Gatilho não atingido</v>
      </c>
      <c r="AT9" s="46"/>
      <c r="AU9" s="38" t="s">
        <v>131</v>
      </c>
      <c r="AV9" s="47" t="s">
        <v>122</v>
      </c>
      <c r="AW9" s="47" t="s">
        <v>122</v>
      </c>
      <c r="AX9" s="47" t="s">
        <v>122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47" t="str">
        <f>IF('Razões de Garantia'!BK8&gt;=5.25%,"Gatilho atingido","Gatilho não atingido")</f>
        <v>Gatilho não atingido</v>
      </c>
      <c r="BL9" s="47" t="str">
        <f>IF('Razões de Garantia'!BL8&gt;=5.25%,"Gatilho atingido","Gatilho não atingido")</f>
        <v>Gatilho não atingido</v>
      </c>
      <c r="BM9" s="47" t="str">
        <f>IF('Razões de Garantia'!BM8&gt;=5.25%,"Gatilho atingido","Gatilho não atingido")</f>
        <v>Gatilho não atingido</v>
      </c>
      <c r="BN9" s="47" t="str">
        <f>IF('Razões de Garantia'!BN8&gt;=5.25%,"Gatilho atingido","Gatilho não atingido")</f>
        <v>Gatilho não atingido</v>
      </c>
      <c r="BO9" s="47" t="str">
        <f>IF('Razões de Garantia'!BO8&gt;=5.25%,"Gatilho atingido","Gatilho não atingido")</f>
        <v>Gatilho não atingido</v>
      </c>
      <c r="BP9" s="47" t="str">
        <f>IF('Razões de Garantia'!BP8&gt;=5.25%,"Gatilho atingido","Gatilho não atingido")</f>
        <v>Gatilho não atingido</v>
      </c>
      <c r="BQ9" s="47" t="str">
        <f>IF('Razões de Garantia'!BQ8&gt;=5.25%,"Gatilho atingido","Gatilho não atingido")</f>
        <v>Gatilho não atingido</v>
      </c>
      <c r="BR9" s="47" t="str">
        <f>IF('Razões de Garantia'!BR8&gt;=5.25%,"Gatilho atingido","Gatilho não atingido")</f>
        <v>Gatilho não atingido</v>
      </c>
      <c r="BS9" s="47" t="str">
        <f>IF('Razões de Garantia'!BS8&gt;=5.25%,"Gatilho atingido","Gatilho não atingido")</f>
        <v>Gatilho não atingido</v>
      </c>
      <c r="BT9" s="47" t="str">
        <f>IF('Razões de Garantia'!BT8&gt;=5.25%,"Gatilho atingido","Gatilho não atingido")</f>
        <v>Gatilho não atingido</v>
      </c>
      <c r="BU9" s="47"/>
      <c r="BV9" s="53">
        <v>6</v>
      </c>
      <c r="BW9" s="54">
        <v>1.2E-2</v>
      </c>
      <c r="BX9" s="54">
        <v>1.5599999999999999E-2</v>
      </c>
    </row>
    <row r="10" spans="1:76" x14ac:dyDescent="0.3">
      <c r="A10" s="48">
        <v>43952</v>
      </c>
      <c r="B10" s="12">
        <v>114959987.07000007</v>
      </c>
      <c r="C10" s="70">
        <f>(_xlfn.DAYS('Capa Final'!$C$3,'Razões de Garantia'!A10)/30)-1</f>
        <v>32.5</v>
      </c>
      <c r="D10" s="70" t="str">
        <f t="shared" si="6"/>
        <v>Sim</v>
      </c>
      <c r="E10" s="44"/>
      <c r="F10" s="13"/>
      <c r="G10" s="21"/>
      <c r="H10" s="21"/>
      <c r="AT10" s="46"/>
      <c r="AU10" s="38" t="s">
        <v>132</v>
      </c>
      <c r="AV10" s="47" t="s">
        <v>122</v>
      </c>
      <c r="AW10" s="47" t="s">
        <v>122</v>
      </c>
      <c r="AX10" s="47" t="s">
        <v>122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47" t="str">
        <f>IF('Razões de Garantia'!BK8&gt;=6.5%,"Gatilho atingido","Gatilho não atingido")</f>
        <v>Gatilho não atingido</v>
      </c>
      <c r="BL10" s="47" t="str">
        <f>IF('Razões de Garantia'!BL8&gt;=6.5%,"Gatilho atingido","Gatilho não atingido")</f>
        <v>Gatilho não atingido</v>
      </c>
      <c r="BM10" s="47" t="str">
        <f>IF('Razões de Garantia'!BM8&gt;=6.5%,"Gatilho atingido","Gatilho não atingido")</f>
        <v>Gatilho não atingido</v>
      </c>
      <c r="BN10" s="47" t="str">
        <f>IF('Razões de Garantia'!BN8&gt;=6.5%,"Gatilho atingido","Gatilho não atingido")</f>
        <v>Gatilho não atingido</v>
      </c>
      <c r="BO10" s="47" t="str">
        <f>IF('Razões de Garantia'!BO8&gt;=6.5%,"Gatilho atingido","Gatilho não atingido")</f>
        <v>Gatilho não atingido</v>
      </c>
      <c r="BP10" s="47" t="str">
        <f>IF('Razões de Garantia'!BP8&gt;=6.5%,"Gatilho atingido","Gatilho não atingido")</f>
        <v>Gatilho não atingido</v>
      </c>
      <c r="BQ10" s="47" t="str">
        <f>IF('Razões de Garantia'!BQ8&gt;=6.5%,"Gatilho atingido","Gatilho não atingido")</f>
        <v>Gatilho não atingido</v>
      </c>
      <c r="BR10" s="47" t="str">
        <f>IF('Razões de Garantia'!BR8&gt;=6.5%,"Gatilho atingido","Gatilho não atingido")</f>
        <v>Gatilho não atingido</v>
      </c>
      <c r="BS10" s="47" t="str">
        <f>IF('Razões de Garantia'!BS8&gt;=6.5%,"Gatilho atingido","Gatilho não atingido")</f>
        <v>Gatilho não atingido</v>
      </c>
      <c r="BT10" s="47" t="str">
        <f>IF('Razões de Garantia'!BT8&gt;=6.5%,"Gatilho atingido","Gatilho não atingido")</f>
        <v>Gatilho não atingido</v>
      </c>
      <c r="BU10" s="47"/>
      <c r="BV10" s="53">
        <v>7</v>
      </c>
      <c r="BW10" s="54">
        <v>1.43E-2</v>
      </c>
      <c r="BX10" s="54">
        <v>1.84E-2</v>
      </c>
    </row>
    <row r="11" spans="1:76" x14ac:dyDescent="0.3">
      <c r="A11" s="48">
        <v>43983</v>
      </c>
      <c r="B11" s="12">
        <v>77416359.170000106</v>
      </c>
      <c r="C11" s="70">
        <f>(_xlfn.DAYS('Capa Final'!$C$3,'Razões de Garantia'!A11)/30)-1</f>
        <v>31.466666666666669</v>
      </c>
      <c r="D11" s="70" t="str">
        <f t="shared" si="6"/>
        <v>Sim</v>
      </c>
      <c r="E11" s="44"/>
      <c r="F11" s="13"/>
      <c r="G11" s="98" t="s">
        <v>116</v>
      </c>
      <c r="H11" s="98"/>
      <c r="I11" s="98"/>
      <c r="J11" s="98"/>
      <c r="K11" s="98"/>
      <c r="L11" s="98"/>
      <c r="M11" s="98"/>
      <c r="N11" s="98"/>
      <c r="O11" s="98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46"/>
      <c r="AU11" s="38" t="s">
        <v>133</v>
      </c>
      <c r="AV11" s="47" t="s">
        <v>122</v>
      </c>
      <c r="AW11" s="47" t="s">
        <v>122</v>
      </c>
      <c r="AX11" s="47" t="s">
        <v>122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47" t="str">
        <f>IF('Razões de Garantia'!BK8&gt;=8%,"Gatilho atingido","Gatilho não atingido")</f>
        <v>Gatilho não atingido</v>
      </c>
      <c r="BL11" s="47" t="str">
        <f>IF('Razões de Garantia'!BL8&gt;=8%,"Gatilho atingido","Gatilho não atingido")</f>
        <v>Gatilho não atingido</v>
      </c>
      <c r="BM11" s="47" t="str">
        <f>IF('Razões de Garantia'!BM8&gt;=8%,"Gatilho atingido","Gatilho não atingido")</f>
        <v>Gatilho não atingido</v>
      </c>
      <c r="BN11" s="47" t="str">
        <f>IF('Razões de Garantia'!BN8&gt;=8%,"Gatilho atingido","Gatilho não atingido")</f>
        <v>Gatilho não atingido</v>
      </c>
      <c r="BO11" s="47" t="str">
        <f>IF('Razões de Garantia'!BO8&gt;=8%,"Gatilho atingido","Gatilho não atingido")</f>
        <v>Gatilho não atingido</v>
      </c>
      <c r="BP11" s="47" t="str">
        <f>IF('Razões de Garantia'!BP8&gt;=8%,"Gatilho atingido","Gatilho não atingido")</f>
        <v>Gatilho não atingido</v>
      </c>
      <c r="BQ11" s="47" t="str">
        <f>IF('Razões de Garantia'!BQ8&gt;=8%,"Gatilho atingido","Gatilho não atingido")</f>
        <v>Gatilho não atingido</v>
      </c>
      <c r="BR11" s="47" t="str">
        <f>IF('Razões de Garantia'!BR8&gt;=8%,"Gatilho atingido","Gatilho não atingido")</f>
        <v>Gatilho não atingido</v>
      </c>
      <c r="BS11" s="47" t="str">
        <f>IF('Razões de Garantia'!BS8&gt;=8%,"Gatilho atingido","Gatilho não atingido")</f>
        <v>Gatilho não atingido</v>
      </c>
      <c r="BT11" s="47" t="str">
        <f>IF('Razões de Garantia'!BT8&gt;=8%,"Gatilho atingido","Gatilho não atingido")</f>
        <v>Gatilho não atingido</v>
      </c>
      <c r="BU11" s="47"/>
      <c r="BV11" s="53">
        <v>8</v>
      </c>
      <c r="BW11" s="54">
        <v>1.6500000000000001E-2</v>
      </c>
      <c r="BX11" s="54">
        <v>2.12E-2</v>
      </c>
    </row>
    <row r="12" spans="1:76" x14ac:dyDescent="0.3">
      <c r="A12" s="48">
        <v>44013</v>
      </c>
      <c r="B12" s="12">
        <v>135156210.66000074</v>
      </c>
      <c r="C12" s="70">
        <f>(_xlfn.DAYS('Capa Final'!$C$3,'Razões de Garantia'!A12)/30)-1</f>
        <v>30.466666666666665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7">EDATE(G12,1)</f>
        <v>43800</v>
      </c>
      <c r="I12" s="39">
        <f t="shared" si="37"/>
        <v>43831</v>
      </c>
      <c r="J12" s="39">
        <f t="shared" si="37"/>
        <v>43862</v>
      </c>
      <c r="K12" s="39">
        <f t="shared" si="37"/>
        <v>43891</v>
      </c>
      <c r="L12" s="39">
        <f t="shared" si="37"/>
        <v>43922</v>
      </c>
      <c r="M12" s="39">
        <f t="shared" si="37"/>
        <v>43952</v>
      </c>
      <c r="N12" s="39">
        <f t="shared" si="37"/>
        <v>43983</v>
      </c>
      <c r="O12" s="39">
        <f t="shared" si="37"/>
        <v>44013</v>
      </c>
      <c r="P12" s="39">
        <f t="shared" ref="P12:U12" si="38">EDATE(O12,1)</f>
        <v>44044</v>
      </c>
      <c r="Q12" s="39">
        <f t="shared" si="38"/>
        <v>44075</v>
      </c>
      <c r="R12" s="39">
        <f t="shared" si="38"/>
        <v>44105</v>
      </c>
      <c r="S12" s="39">
        <f t="shared" si="38"/>
        <v>44136</v>
      </c>
      <c r="T12" s="39">
        <f t="shared" si="38"/>
        <v>44166</v>
      </c>
      <c r="U12" s="39">
        <f t="shared" si="38"/>
        <v>44197</v>
      </c>
      <c r="V12" s="39">
        <f t="shared" ref="V12:AS12" si="39">EDATE(U12,1)</f>
        <v>44228</v>
      </c>
      <c r="W12" s="39">
        <f t="shared" si="39"/>
        <v>44256</v>
      </c>
      <c r="X12" s="39">
        <f t="shared" si="39"/>
        <v>44287</v>
      </c>
      <c r="Y12" s="39">
        <f t="shared" si="39"/>
        <v>44317</v>
      </c>
      <c r="Z12" s="39">
        <f t="shared" si="39"/>
        <v>44348</v>
      </c>
      <c r="AA12" s="39">
        <f t="shared" si="39"/>
        <v>44378</v>
      </c>
      <c r="AB12" s="39">
        <f t="shared" si="39"/>
        <v>44409</v>
      </c>
      <c r="AC12" s="39">
        <f t="shared" si="39"/>
        <v>44440</v>
      </c>
      <c r="AD12" s="39">
        <f t="shared" si="39"/>
        <v>44470</v>
      </c>
      <c r="AE12" s="39">
        <f t="shared" si="39"/>
        <v>44501</v>
      </c>
      <c r="AF12" s="39">
        <f t="shared" si="39"/>
        <v>44531</v>
      </c>
      <c r="AG12" s="39">
        <f t="shared" si="39"/>
        <v>44562</v>
      </c>
      <c r="AH12" s="39">
        <f t="shared" si="39"/>
        <v>44593</v>
      </c>
      <c r="AI12" s="39">
        <f t="shared" si="39"/>
        <v>44621</v>
      </c>
      <c r="AJ12" s="39">
        <f t="shared" si="39"/>
        <v>44652</v>
      </c>
      <c r="AK12" s="39">
        <f t="shared" si="39"/>
        <v>44682</v>
      </c>
      <c r="AL12" s="39">
        <f t="shared" si="39"/>
        <v>44713</v>
      </c>
      <c r="AM12" s="39">
        <f t="shared" si="39"/>
        <v>44743</v>
      </c>
      <c r="AN12" s="39">
        <f t="shared" si="39"/>
        <v>44774</v>
      </c>
      <c r="AO12" s="39">
        <f t="shared" si="39"/>
        <v>44805</v>
      </c>
      <c r="AP12" s="39">
        <f t="shared" si="39"/>
        <v>44835</v>
      </c>
      <c r="AQ12" s="39">
        <f t="shared" si="39"/>
        <v>44866</v>
      </c>
      <c r="AR12" s="39">
        <f t="shared" si="39"/>
        <v>44896</v>
      </c>
      <c r="AS12" s="39">
        <f t="shared" si="39"/>
        <v>44927</v>
      </c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53">
        <v>9</v>
      </c>
      <c r="BW12" s="54">
        <v>1.8800000000000001E-2</v>
      </c>
      <c r="BX12" s="54">
        <v>2.4E-2</v>
      </c>
    </row>
    <row r="13" spans="1:76" x14ac:dyDescent="0.3">
      <c r="A13" s="48">
        <v>44044</v>
      </c>
      <c r="B13" s="12">
        <v>282086747.22000003</v>
      </c>
      <c r="C13" s="70">
        <f>(_xlfn.DAYS('Capa Final'!$C$3,'Razões de Garantia'!A13)/30)-1</f>
        <v>29.433333333333334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40">I13+1</f>
        <v>2</v>
      </c>
      <c r="K13" s="50">
        <f t="shared" si="40"/>
        <v>3</v>
      </c>
      <c r="L13" s="50">
        <f t="shared" si="40"/>
        <v>4</v>
      </c>
      <c r="M13" s="50">
        <f t="shared" si="40"/>
        <v>5</v>
      </c>
      <c r="N13" s="50">
        <f t="shared" si="40"/>
        <v>6</v>
      </c>
      <c r="O13" s="50">
        <f t="shared" si="40"/>
        <v>7</v>
      </c>
      <c r="P13" s="50">
        <f t="shared" ref="P13:U13" si="41">O13+1</f>
        <v>8</v>
      </c>
      <c r="Q13" s="50">
        <f t="shared" si="41"/>
        <v>9</v>
      </c>
      <c r="R13" s="50">
        <f t="shared" si="41"/>
        <v>10</v>
      </c>
      <c r="S13" s="50">
        <f t="shared" si="41"/>
        <v>11</v>
      </c>
      <c r="T13" s="50">
        <f t="shared" si="41"/>
        <v>12</v>
      </c>
      <c r="U13" s="50">
        <f t="shared" si="41"/>
        <v>13</v>
      </c>
      <c r="V13" s="50">
        <f t="shared" ref="V13:AS13" si="42">U13+1</f>
        <v>14</v>
      </c>
      <c r="W13" s="50">
        <f t="shared" si="42"/>
        <v>15</v>
      </c>
      <c r="X13" s="50">
        <f t="shared" si="42"/>
        <v>16</v>
      </c>
      <c r="Y13" s="50">
        <f t="shared" si="42"/>
        <v>17</v>
      </c>
      <c r="Z13" s="50">
        <f t="shared" si="42"/>
        <v>18</v>
      </c>
      <c r="AA13" s="50">
        <f t="shared" si="42"/>
        <v>19</v>
      </c>
      <c r="AB13" s="50">
        <f t="shared" si="42"/>
        <v>20</v>
      </c>
      <c r="AC13" s="50">
        <f t="shared" si="42"/>
        <v>21</v>
      </c>
      <c r="AD13" s="50">
        <f t="shared" si="42"/>
        <v>22</v>
      </c>
      <c r="AE13" s="50">
        <f t="shared" si="42"/>
        <v>23</v>
      </c>
      <c r="AF13" s="50">
        <f t="shared" si="42"/>
        <v>24</v>
      </c>
      <c r="AG13" s="50">
        <f t="shared" si="42"/>
        <v>25</v>
      </c>
      <c r="AH13" s="50">
        <f t="shared" si="42"/>
        <v>26</v>
      </c>
      <c r="AI13" s="50">
        <f t="shared" si="42"/>
        <v>27</v>
      </c>
      <c r="AJ13" s="50">
        <f t="shared" si="42"/>
        <v>28</v>
      </c>
      <c r="AK13" s="50">
        <f t="shared" si="42"/>
        <v>29</v>
      </c>
      <c r="AL13" s="50">
        <f t="shared" si="42"/>
        <v>30</v>
      </c>
      <c r="AM13" s="50">
        <f t="shared" si="42"/>
        <v>31</v>
      </c>
      <c r="AN13" s="50">
        <f t="shared" si="42"/>
        <v>32</v>
      </c>
      <c r="AO13" s="50">
        <f t="shared" si="42"/>
        <v>33</v>
      </c>
      <c r="AP13" s="50">
        <f t="shared" si="42"/>
        <v>34</v>
      </c>
      <c r="AQ13" s="50">
        <f t="shared" si="42"/>
        <v>35</v>
      </c>
      <c r="AR13" s="50">
        <f t="shared" si="42"/>
        <v>36</v>
      </c>
      <c r="AS13" s="50">
        <f t="shared" si="42"/>
        <v>37</v>
      </c>
      <c r="BV13" s="53">
        <v>10</v>
      </c>
      <c r="BW13" s="54">
        <v>2.1000000000000001E-2</v>
      </c>
      <c r="BX13" s="54">
        <v>2.6800000000000001E-2</v>
      </c>
    </row>
    <row r="14" spans="1:76" x14ac:dyDescent="0.3">
      <c r="A14" s="48">
        <v>44075</v>
      </c>
      <c r="B14" s="12">
        <v>126463923.41</v>
      </c>
      <c r="C14" s="70">
        <f>(_xlfn.DAYS('Capa Final'!$C$3,'Razões de Garantia'!A14)/30)-1</f>
        <v>28.4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v>2080207.7136929997</v>
      </c>
      <c r="AO14" s="21">
        <v>2092927.7357509993</v>
      </c>
      <c r="AP14" s="21">
        <v>2102402.1743629999</v>
      </c>
      <c r="AQ14" s="21">
        <v>2117397.0356779993</v>
      </c>
      <c r="AR14" s="21">
        <v>2113100.7944360003</v>
      </c>
      <c r="AS14" s="21">
        <f>SUM('Capa Final'!$D$37:$D$38)+SUM('Capa Final'!$D$46:$D$47)</f>
        <v>2138198.7933780001</v>
      </c>
      <c r="AT14" s="46"/>
      <c r="BV14" s="53">
        <v>11</v>
      </c>
      <c r="BW14" s="54">
        <v>2.3300000000000001E-2</v>
      </c>
      <c r="BX14" s="54">
        <v>2.9600000000000001E-2</v>
      </c>
    </row>
    <row r="15" spans="1:76" x14ac:dyDescent="0.3">
      <c r="A15" s="48">
        <v>44105</v>
      </c>
      <c r="B15" s="12">
        <v>123980627</v>
      </c>
      <c r="C15" s="70">
        <f>(_xlfn.DAYS('Capa Final'!$C$3,'Razões de Garantia'!A15)/30)-1</f>
        <v>27.4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v>14910.175497999999</v>
      </c>
      <c r="AO15" s="21">
        <v>2570.7231670000006</v>
      </c>
      <c r="AP15" s="21">
        <v>8101.9323730000006</v>
      </c>
      <c r="AQ15" s="21">
        <v>8884.9951430000001</v>
      </c>
      <c r="AR15" s="21">
        <v>10121.000897</v>
      </c>
      <c r="AS15" s="21">
        <f>'Capa Final'!$D$37+'Capa Final'!$D$46</f>
        <v>23557.07403</v>
      </c>
      <c r="AT15" s="46"/>
      <c r="BV15" s="53">
        <v>12</v>
      </c>
      <c r="BW15" s="54">
        <v>2.5499999999999998E-2</v>
      </c>
      <c r="BX15" s="54">
        <v>3.2399999999999998E-2</v>
      </c>
    </row>
    <row r="16" spans="1:76" x14ac:dyDescent="0.3">
      <c r="A16" s="48">
        <v>44136</v>
      </c>
      <c r="B16" s="12">
        <v>25876262</v>
      </c>
      <c r="C16" s="70">
        <f>(_xlfn.DAYS('Capa Final'!$C$3,'Razões de Garantia'!A16)/30)-1</f>
        <v>26.366666666666667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43">X14/$B$5</f>
        <v>1.1920923363959533E-2</v>
      </c>
      <c r="Y16" s="47">
        <f t="shared" si="43"/>
        <v>1.2700827970859321E-2</v>
      </c>
      <c r="Z16" s="47">
        <f t="shared" si="43"/>
        <v>1.2968443358407947E-2</v>
      </c>
      <c r="AA16" s="47">
        <f t="shared" si="43"/>
        <v>1.3616445733042312E-2</v>
      </c>
      <c r="AB16" s="47">
        <f t="shared" si="43"/>
        <v>1.4101250242627723E-2</v>
      </c>
      <c r="AC16" s="47">
        <f t="shared" si="43"/>
        <v>1.4519801171379647E-2</v>
      </c>
      <c r="AD16" s="47">
        <f t="shared" ref="AD16" si="44">AD14/$B$5</f>
        <v>1.4996599867230185E-2</v>
      </c>
      <c r="AE16" s="47">
        <f t="shared" ref="AE16:AJ16" si="45">AE14/$B$5</f>
        <v>1.5249608393370686E-2</v>
      </c>
      <c r="AF16" s="47">
        <f t="shared" si="45"/>
        <v>1.5520044376182375E-2</v>
      </c>
      <c r="AG16" s="47">
        <f t="shared" si="45"/>
        <v>1.5619686761237119E-2</v>
      </c>
      <c r="AH16" s="47">
        <f t="shared" si="45"/>
        <v>1.6198193136956297E-2</v>
      </c>
      <c r="AI16" s="47">
        <f t="shared" si="45"/>
        <v>1.6235368958909549E-2</v>
      </c>
      <c r="AJ16" s="47">
        <f t="shared" si="45"/>
        <v>1.638159136018074E-2</v>
      </c>
      <c r="AK16" s="47">
        <f t="shared" ref="AK16:AL16" si="46">AK14/$B$5</f>
        <v>1.655084286039837E-2</v>
      </c>
      <c r="AL16" s="47">
        <f t="shared" si="46"/>
        <v>1.6723528437791898E-2</v>
      </c>
      <c r="AM16" s="47">
        <f t="shared" ref="AM16:AN16" si="47">AM14/$B$5</f>
        <v>1.6814918889292717E-2</v>
      </c>
      <c r="AN16" s="47">
        <f t="shared" si="47"/>
        <v>1.6690354495573507E-2</v>
      </c>
      <c r="AO16" s="47">
        <f t="shared" ref="AO16:AP16" si="48">AO14/$B$5</f>
        <v>1.6792412417934843E-2</v>
      </c>
      <c r="AP16" s="47">
        <f t="shared" si="48"/>
        <v>1.6868429701228205E-2</v>
      </c>
      <c r="AQ16" s="47">
        <f t="shared" ref="AQ16:AR16" si="49">AQ14/$B$5</f>
        <v>1.6988739586299727E-2</v>
      </c>
      <c r="AR16" s="47">
        <f t="shared" si="49"/>
        <v>1.6954269091427769E-2</v>
      </c>
      <c r="AS16" s="47">
        <f t="shared" ref="AS16" si="50">AS14/$B$5</f>
        <v>1.7155640568282761E-2</v>
      </c>
      <c r="AT16" s="46"/>
      <c r="BV16" s="53">
        <v>13</v>
      </c>
      <c r="BW16" s="54">
        <v>2.7799999999999998E-2</v>
      </c>
      <c r="BX16" s="54">
        <v>3.5200000000000002E-2</v>
      </c>
    </row>
    <row r="17" spans="2:76" x14ac:dyDescent="0.3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51">IF(I16&gt;VLOOKUP(I13,$BV$3:$BX$75,2,0),"Gatilho atingido","Gatilho não atingido")</f>
        <v>Gatilho não atingido</v>
      </c>
      <c r="J17" s="47" t="str">
        <f t="shared" si="51"/>
        <v>Gatilho não atingido</v>
      </c>
      <c r="K17" s="47" t="str">
        <f t="shared" si="51"/>
        <v>Gatilho não atingido</v>
      </c>
      <c r="L17" s="47" t="str">
        <f t="shared" si="51"/>
        <v>Gatilho não atingido</v>
      </c>
      <c r="M17" s="47" t="str">
        <f t="shared" si="51"/>
        <v>Gatilho não atingido</v>
      </c>
      <c r="N17" s="47" t="str">
        <f t="shared" si="51"/>
        <v>Gatilho não atingido</v>
      </c>
      <c r="O17" s="47" t="str">
        <f t="shared" si="51"/>
        <v>Gatilho não atingido</v>
      </c>
      <c r="P17" s="47" t="str">
        <f t="shared" si="51"/>
        <v>Gatilho não atingido</v>
      </c>
      <c r="Q17" s="47" t="str">
        <f t="shared" si="51"/>
        <v>Gatilho não atingido</v>
      </c>
      <c r="R17" s="47" t="str">
        <f t="shared" si="51"/>
        <v>Gatilho não atingido</v>
      </c>
      <c r="S17" s="47" t="str">
        <f t="shared" si="51"/>
        <v>Gatilho não atingido</v>
      </c>
      <c r="T17" s="47" t="str">
        <f t="shared" si="51"/>
        <v>Gatilho não atingido</v>
      </c>
      <c r="U17" s="47" t="str">
        <f t="shared" si="51"/>
        <v>Gatilho não atingido</v>
      </c>
      <c r="V17" s="47" t="str">
        <f t="shared" si="51"/>
        <v>Gatilho não atingido</v>
      </c>
      <c r="W17" s="47" t="str">
        <f t="shared" si="51"/>
        <v>Gatilho não atingido</v>
      </c>
      <c r="X17" s="47" t="str">
        <f t="shared" si="51"/>
        <v>Gatilho não atingido</v>
      </c>
      <c r="Y17" s="47" t="str">
        <f t="shared" ref="Y17" si="52">IF(Y16&gt;VLOOKUP(Y13,$BV$3:$BX$75,2,0),"Gatilho atingido","Gatilho não atingido")</f>
        <v>Gatilho não atingido</v>
      </c>
      <c r="Z17" s="47" t="str">
        <f t="shared" ref="Z17:AD17" si="53">IF(Z16&gt;VLOOKUP(Z13,$BV$3:$BX$75,2,0),"Gatilho atingido","Gatilho não atingido")</f>
        <v>Gatilho não atingido</v>
      </c>
      <c r="AA17" s="47" t="str">
        <f t="shared" si="53"/>
        <v>Gatilho não atingido</v>
      </c>
      <c r="AB17" s="47" t="str">
        <f t="shared" si="53"/>
        <v>Gatilho não atingido</v>
      </c>
      <c r="AC17" s="47" t="str">
        <f t="shared" si="53"/>
        <v>Gatilho não atingido</v>
      </c>
      <c r="AD17" s="47" t="str">
        <f t="shared" si="53"/>
        <v>Gatilho não atingido</v>
      </c>
      <c r="AE17" s="47" t="str">
        <f t="shared" ref="AE17:AJ17" si="54">IF(AE16&gt;VLOOKUP(AE13,$BV$3:$BX$75,2,0),"Gatilho atingido","Gatilho não atingido")</f>
        <v>Gatilho não atingido</v>
      </c>
      <c r="AF17" s="47" t="str">
        <f t="shared" si="54"/>
        <v>Gatilho não atingido</v>
      </c>
      <c r="AG17" s="47" t="str">
        <f t="shared" si="54"/>
        <v>Gatilho não atingido</v>
      </c>
      <c r="AH17" s="47" t="str">
        <f t="shared" si="54"/>
        <v>Gatilho não atingido</v>
      </c>
      <c r="AI17" s="47" t="str">
        <f t="shared" si="54"/>
        <v>Gatilho não atingido</v>
      </c>
      <c r="AJ17" s="47" t="str">
        <f t="shared" si="54"/>
        <v>Gatilho não atingido</v>
      </c>
      <c r="AK17" s="47" t="str">
        <f t="shared" ref="AK17:AL17" si="55">IF(AK16&gt;VLOOKUP(AK13,$BV$3:$BX$75,2,0),"Gatilho atingido","Gatilho não atingido")</f>
        <v>Gatilho não atingido</v>
      </c>
      <c r="AL17" s="47" t="str">
        <f t="shared" si="55"/>
        <v>Gatilho não atingido</v>
      </c>
      <c r="AM17" s="47" t="str">
        <f t="shared" ref="AM17:AN17" si="56">IF(AM16&gt;VLOOKUP(AM13,$BV$3:$BX$75,2,0),"Gatilho atingido","Gatilho não atingido")</f>
        <v>Gatilho não atingido</v>
      </c>
      <c r="AN17" s="47" t="str">
        <f t="shared" si="56"/>
        <v>Gatilho não atingido</v>
      </c>
      <c r="AO17" s="47" t="str">
        <f t="shared" ref="AO17:AP17" si="57">IF(AO16&gt;VLOOKUP(AO13,$BV$3:$BX$75,2,0),"Gatilho atingido","Gatilho não atingido")</f>
        <v>Gatilho não atingido</v>
      </c>
      <c r="AP17" s="47" t="str">
        <f t="shared" si="57"/>
        <v>Gatilho não atingido</v>
      </c>
      <c r="AQ17" s="47" t="str">
        <f t="shared" ref="AQ17:AR17" si="58">IF(AQ16&gt;VLOOKUP(AQ13,$BV$3:$BX$75,2,0),"Gatilho atingido","Gatilho não atingido")</f>
        <v>Gatilho não atingido</v>
      </c>
      <c r="AR17" s="47" t="str">
        <f t="shared" si="58"/>
        <v>Gatilho não atingido</v>
      </c>
      <c r="AS17" s="47" t="str">
        <f t="shared" ref="AS17" si="59">IF(AS16&gt;VLOOKUP(AS13,$BV$3:$BX$75,2,0),"Gatilho atingido","Gatilho não atingido")</f>
        <v>Gatilho não atingido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53">
        <v>14</v>
      </c>
      <c r="BW17" s="54">
        <v>0.03</v>
      </c>
      <c r="BX17" s="54">
        <v>3.7999999999999999E-2</v>
      </c>
    </row>
    <row r="18" spans="2:76" x14ac:dyDescent="0.3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60">IF(I16&gt;VLOOKUP(I13,$BV$3:$BX$75,3,0),"Gatilho atingido","Gatilho não atingido")</f>
        <v>Gatilho não atingido</v>
      </c>
      <c r="J18" s="47" t="str">
        <f t="shared" si="60"/>
        <v>Gatilho não atingido</v>
      </c>
      <c r="K18" s="47" t="str">
        <f t="shared" si="60"/>
        <v>Gatilho não atingido</v>
      </c>
      <c r="L18" s="47" t="str">
        <f t="shared" si="60"/>
        <v>Gatilho não atingido</v>
      </c>
      <c r="M18" s="47" t="str">
        <f t="shared" si="60"/>
        <v>Gatilho não atingido</v>
      </c>
      <c r="N18" s="47" t="str">
        <f t="shared" si="60"/>
        <v>Gatilho não atingido</v>
      </c>
      <c r="O18" s="47" t="str">
        <f t="shared" si="60"/>
        <v>Gatilho não atingido</v>
      </c>
      <c r="P18" s="47" t="str">
        <f t="shared" si="60"/>
        <v>Gatilho não atingido</v>
      </c>
      <c r="Q18" s="47" t="str">
        <f t="shared" si="60"/>
        <v>Gatilho não atingido</v>
      </c>
      <c r="R18" s="47" t="str">
        <f t="shared" si="60"/>
        <v>Gatilho não atingido</v>
      </c>
      <c r="S18" s="47" t="str">
        <f t="shared" si="60"/>
        <v>Gatilho não atingido</v>
      </c>
      <c r="T18" s="47" t="str">
        <f t="shared" si="60"/>
        <v>Gatilho não atingido</v>
      </c>
      <c r="U18" s="47" t="str">
        <f t="shared" si="60"/>
        <v>Gatilho não atingido</v>
      </c>
      <c r="V18" s="47" t="str">
        <f t="shared" si="60"/>
        <v>Gatilho não atingido</v>
      </c>
      <c r="W18" s="47" t="str">
        <f t="shared" si="60"/>
        <v>Gatilho não atingido</v>
      </c>
      <c r="X18" s="47" t="str">
        <f t="shared" si="60"/>
        <v>Gatilho não atingido</v>
      </c>
      <c r="Y18" s="47" t="str">
        <f t="shared" ref="Y18" si="61">IF(Y16&gt;VLOOKUP(Y13,$BV$3:$BX$75,3,0),"Gatilho atingido","Gatilho não atingido")</f>
        <v>Gatilho não atingido</v>
      </c>
      <c r="Z18" s="47" t="str">
        <f t="shared" ref="Z18:AD18" si="62">IF(Z16&gt;VLOOKUP(Z13,$BV$3:$BX$75,3,0),"Gatilho atingido","Gatilho não atingido")</f>
        <v>Gatilho não atingido</v>
      </c>
      <c r="AA18" s="47" t="str">
        <f t="shared" si="62"/>
        <v>Gatilho não atingido</v>
      </c>
      <c r="AB18" s="47" t="str">
        <f t="shared" si="62"/>
        <v>Gatilho não atingido</v>
      </c>
      <c r="AC18" s="47" t="str">
        <f t="shared" si="62"/>
        <v>Gatilho não atingido</v>
      </c>
      <c r="AD18" s="47" t="str">
        <f t="shared" si="62"/>
        <v>Gatilho não atingido</v>
      </c>
      <c r="AE18" s="47" t="str">
        <f t="shared" ref="AE18:AJ18" si="63">IF(AE16&gt;VLOOKUP(AE13,$BV$3:$BX$75,3,0),"Gatilho atingido","Gatilho não atingido")</f>
        <v>Gatilho não atingido</v>
      </c>
      <c r="AF18" s="47" t="str">
        <f t="shared" si="63"/>
        <v>Gatilho não atingido</v>
      </c>
      <c r="AG18" s="47" t="str">
        <f t="shared" si="63"/>
        <v>Gatilho não atingido</v>
      </c>
      <c r="AH18" s="47" t="str">
        <f t="shared" si="63"/>
        <v>Gatilho não atingido</v>
      </c>
      <c r="AI18" s="47" t="str">
        <f t="shared" si="63"/>
        <v>Gatilho não atingido</v>
      </c>
      <c r="AJ18" s="47" t="str">
        <f t="shared" si="63"/>
        <v>Gatilho não atingido</v>
      </c>
      <c r="AK18" s="47" t="str">
        <f t="shared" ref="AK18:AL18" si="64">IF(AK16&gt;VLOOKUP(AK13,$BV$3:$BX$75,3,0),"Gatilho atingido","Gatilho não atingido")</f>
        <v>Gatilho não atingido</v>
      </c>
      <c r="AL18" s="47" t="str">
        <f t="shared" si="64"/>
        <v>Gatilho não atingido</v>
      </c>
      <c r="AM18" s="47" t="str">
        <f t="shared" ref="AM18:AN18" si="65">IF(AM16&gt;VLOOKUP(AM13,$BV$3:$BX$75,3,0),"Gatilho atingido","Gatilho não atingido")</f>
        <v>Gatilho não atingido</v>
      </c>
      <c r="AN18" s="47" t="str">
        <f t="shared" si="65"/>
        <v>Gatilho não atingido</v>
      </c>
      <c r="AO18" s="47" t="str">
        <f t="shared" ref="AO18:AP18" si="66">IF(AO16&gt;VLOOKUP(AO13,$BV$3:$BX$75,3,0),"Gatilho atingido","Gatilho não atingido")</f>
        <v>Gatilho não atingido</v>
      </c>
      <c r="AP18" s="47" t="str">
        <f t="shared" si="66"/>
        <v>Gatilho não atingido</v>
      </c>
      <c r="AQ18" s="47" t="str">
        <f t="shared" ref="AQ18:AR18" si="67">IF(AQ16&gt;VLOOKUP(AQ13,$BV$3:$BX$75,3,0),"Gatilho atingido","Gatilho não atingido")</f>
        <v>Gatilho não atingido</v>
      </c>
      <c r="AR18" s="47" t="str">
        <f t="shared" si="67"/>
        <v>Gatilho não atingido</v>
      </c>
      <c r="AS18" s="47" t="str">
        <f t="shared" ref="AS18" si="68">IF(AS16&gt;VLOOKUP(AS13,$BV$3:$BX$75,3,0),"Gatilho atingido","Gatilho não atingido")</f>
        <v>Gatilho não atingido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53">
        <v>15</v>
      </c>
      <c r="BW18" s="54">
        <v>3.1699999999999999E-2</v>
      </c>
      <c r="BX18" s="54">
        <v>4.0599999999999997E-2</v>
      </c>
    </row>
    <row r="19" spans="2:76" x14ac:dyDescent="0.3">
      <c r="B19" s="43"/>
      <c r="C19" s="78"/>
      <c r="D19" s="43"/>
      <c r="E19" s="44"/>
      <c r="F19" s="13"/>
      <c r="G19" s="21"/>
      <c r="H19" s="21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53">
        <v>16</v>
      </c>
      <c r="BW19" s="54">
        <v>3.39E-2</v>
      </c>
      <c r="BX19" s="54">
        <v>4.36E-2</v>
      </c>
    </row>
    <row r="20" spans="2:76" x14ac:dyDescent="0.3">
      <c r="B20" s="43"/>
      <c r="C20" s="78"/>
      <c r="D20" s="43"/>
      <c r="E20" s="44"/>
      <c r="F20" s="13"/>
      <c r="G20" s="98" t="s">
        <v>116</v>
      </c>
      <c r="H20" s="98"/>
      <c r="I20" s="98"/>
      <c r="J20" s="98"/>
      <c r="K20" s="98"/>
      <c r="L20" s="98"/>
      <c r="M20" s="98"/>
      <c r="N20" s="98"/>
      <c r="O20" s="98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53">
        <v>17</v>
      </c>
      <c r="BW20" s="54">
        <v>3.5999999999999997E-2</v>
      </c>
      <c r="BX20" s="54">
        <v>4.6399999999999997E-2</v>
      </c>
    </row>
    <row r="21" spans="2:76" x14ac:dyDescent="0.3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69">EDATE(G21,1)</f>
        <v>43800</v>
      </c>
      <c r="I21" s="39">
        <f t="shared" si="69"/>
        <v>43831</v>
      </c>
      <c r="J21" s="39">
        <f t="shared" si="69"/>
        <v>43862</v>
      </c>
      <c r="K21" s="39">
        <f t="shared" si="69"/>
        <v>43891</v>
      </c>
      <c r="L21" s="39">
        <f t="shared" si="69"/>
        <v>43922</v>
      </c>
      <c r="M21" s="39">
        <f t="shared" si="69"/>
        <v>43952</v>
      </c>
      <c r="N21" s="39">
        <f t="shared" si="69"/>
        <v>43983</v>
      </c>
      <c r="O21" s="39">
        <f t="shared" si="69"/>
        <v>44013</v>
      </c>
      <c r="P21" s="39">
        <f t="shared" ref="P21:U21" si="70">EDATE(O21,1)</f>
        <v>44044</v>
      </c>
      <c r="Q21" s="39">
        <f t="shared" si="70"/>
        <v>44075</v>
      </c>
      <c r="R21" s="39">
        <f t="shared" si="70"/>
        <v>44105</v>
      </c>
      <c r="S21" s="39">
        <f t="shared" si="70"/>
        <v>44136</v>
      </c>
      <c r="T21" s="39">
        <f t="shared" si="70"/>
        <v>44166</v>
      </c>
      <c r="U21" s="39">
        <f t="shared" si="70"/>
        <v>44197</v>
      </c>
      <c r="V21" s="39">
        <f t="shared" ref="V21:AS21" si="71">EDATE(U21,1)</f>
        <v>44228</v>
      </c>
      <c r="W21" s="39">
        <f t="shared" si="71"/>
        <v>44256</v>
      </c>
      <c r="X21" s="39">
        <f t="shared" si="71"/>
        <v>44287</v>
      </c>
      <c r="Y21" s="39">
        <f t="shared" si="71"/>
        <v>44317</v>
      </c>
      <c r="Z21" s="39">
        <f t="shared" si="71"/>
        <v>44348</v>
      </c>
      <c r="AA21" s="39">
        <f t="shared" si="71"/>
        <v>44378</v>
      </c>
      <c r="AB21" s="39">
        <f t="shared" si="71"/>
        <v>44409</v>
      </c>
      <c r="AC21" s="39">
        <f t="shared" si="71"/>
        <v>44440</v>
      </c>
      <c r="AD21" s="39">
        <f t="shared" si="71"/>
        <v>44470</v>
      </c>
      <c r="AE21" s="39">
        <f t="shared" si="71"/>
        <v>44501</v>
      </c>
      <c r="AF21" s="39">
        <f t="shared" si="71"/>
        <v>44531</v>
      </c>
      <c r="AG21" s="39">
        <f t="shared" si="71"/>
        <v>44562</v>
      </c>
      <c r="AH21" s="39">
        <f t="shared" si="71"/>
        <v>44593</v>
      </c>
      <c r="AI21" s="39">
        <f t="shared" si="71"/>
        <v>44621</v>
      </c>
      <c r="AJ21" s="39">
        <f t="shared" si="71"/>
        <v>44652</v>
      </c>
      <c r="AK21" s="39">
        <f t="shared" si="71"/>
        <v>44682</v>
      </c>
      <c r="AL21" s="39">
        <f t="shared" si="71"/>
        <v>44713</v>
      </c>
      <c r="AM21" s="39">
        <f t="shared" si="71"/>
        <v>44743</v>
      </c>
      <c r="AN21" s="39">
        <f t="shared" si="71"/>
        <v>44774</v>
      </c>
      <c r="AO21" s="39">
        <f t="shared" si="71"/>
        <v>44805</v>
      </c>
      <c r="AP21" s="39">
        <f t="shared" si="71"/>
        <v>44835</v>
      </c>
      <c r="AQ21" s="39">
        <f t="shared" si="71"/>
        <v>44866</v>
      </c>
      <c r="AR21" s="39">
        <f t="shared" si="71"/>
        <v>44896</v>
      </c>
      <c r="AS21" s="39">
        <f t="shared" si="71"/>
        <v>44927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53">
        <v>18</v>
      </c>
      <c r="BW21" s="54">
        <v>3.7900000000000003E-2</v>
      </c>
      <c r="BX21" s="54">
        <v>4.9000000000000002E-2</v>
      </c>
    </row>
    <row r="22" spans="2:76" x14ac:dyDescent="0.3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72">I22+1</f>
        <v>1</v>
      </c>
      <c r="K22" s="50">
        <f t="shared" si="72"/>
        <v>2</v>
      </c>
      <c r="L22" s="50">
        <f t="shared" si="72"/>
        <v>3</v>
      </c>
      <c r="M22" s="50">
        <f t="shared" si="72"/>
        <v>4</v>
      </c>
      <c r="N22" s="50">
        <f t="shared" si="72"/>
        <v>5</v>
      </c>
      <c r="O22" s="50">
        <f t="shared" si="72"/>
        <v>6</v>
      </c>
      <c r="P22" s="50">
        <f t="shared" ref="P22:U22" si="73">O22+1</f>
        <v>7</v>
      </c>
      <c r="Q22" s="50">
        <f t="shared" si="73"/>
        <v>8</v>
      </c>
      <c r="R22" s="50">
        <f t="shared" si="73"/>
        <v>9</v>
      </c>
      <c r="S22" s="50">
        <f t="shared" si="73"/>
        <v>10</v>
      </c>
      <c r="T22" s="50">
        <f t="shared" si="73"/>
        <v>11</v>
      </c>
      <c r="U22" s="50">
        <f t="shared" si="73"/>
        <v>12</v>
      </c>
      <c r="V22" s="50">
        <f t="shared" ref="V22:AS22" si="74">U22+1</f>
        <v>13</v>
      </c>
      <c r="W22" s="50">
        <f t="shared" si="74"/>
        <v>14</v>
      </c>
      <c r="X22" s="50">
        <f t="shared" si="74"/>
        <v>15</v>
      </c>
      <c r="Y22" s="50">
        <f t="shared" si="74"/>
        <v>16</v>
      </c>
      <c r="Z22" s="50">
        <f t="shared" si="74"/>
        <v>17</v>
      </c>
      <c r="AA22" s="50">
        <f t="shared" si="74"/>
        <v>18</v>
      </c>
      <c r="AB22" s="50">
        <f t="shared" si="74"/>
        <v>19</v>
      </c>
      <c r="AC22" s="50">
        <f t="shared" si="74"/>
        <v>20</v>
      </c>
      <c r="AD22" s="50">
        <f t="shared" si="74"/>
        <v>21</v>
      </c>
      <c r="AE22" s="50">
        <f t="shared" si="74"/>
        <v>22</v>
      </c>
      <c r="AF22" s="50">
        <f t="shared" si="74"/>
        <v>23</v>
      </c>
      <c r="AG22" s="50">
        <f t="shared" si="74"/>
        <v>24</v>
      </c>
      <c r="AH22" s="50">
        <f t="shared" si="74"/>
        <v>25</v>
      </c>
      <c r="AI22" s="50">
        <f t="shared" si="74"/>
        <v>26</v>
      </c>
      <c r="AJ22" s="50">
        <f t="shared" si="74"/>
        <v>27</v>
      </c>
      <c r="AK22" s="50">
        <f t="shared" si="74"/>
        <v>28</v>
      </c>
      <c r="AL22" s="50">
        <f t="shared" si="74"/>
        <v>29</v>
      </c>
      <c r="AM22" s="50">
        <f t="shared" si="74"/>
        <v>30</v>
      </c>
      <c r="AN22" s="50">
        <f t="shared" si="74"/>
        <v>31</v>
      </c>
      <c r="AO22" s="50">
        <f t="shared" si="74"/>
        <v>32</v>
      </c>
      <c r="AP22" s="50">
        <f t="shared" si="74"/>
        <v>33</v>
      </c>
      <c r="AQ22" s="50">
        <f t="shared" si="74"/>
        <v>34</v>
      </c>
      <c r="AR22" s="50">
        <f t="shared" si="74"/>
        <v>35</v>
      </c>
      <c r="AS22" s="50">
        <f t="shared" si="74"/>
        <v>36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53">
        <v>19</v>
      </c>
      <c r="BW22" s="54">
        <v>3.9899999999999998E-2</v>
      </c>
      <c r="BX22" s="54">
        <v>5.1700000000000003E-2</v>
      </c>
    </row>
    <row r="23" spans="2:76" x14ac:dyDescent="0.3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v>1954831.0728319997</v>
      </c>
      <c r="AO23" s="21">
        <v>1973629.2565339999</v>
      </c>
      <c r="AP23" s="21">
        <v>1974744.607529999</v>
      </c>
      <c r="AQ23" s="21">
        <v>1992823.3884169993</v>
      </c>
      <c r="AR23" s="21">
        <v>2010408.867759</v>
      </c>
      <c r="AS23" s="21">
        <f>SUM('Capa Final'!$E$37:$E$38)+SUM('Capa Final'!$E$46:$E$47)</f>
        <v>2027608.6412549994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53">
        <v>20</v>
      </c>
      <c r="BW23" s="54">
        <v>4.1700000000000001E-2</v>
      </c>
      <c r="BX23" s="54">
        <v>5.4199999999999998E-2</v>
      </c>
    </row>
    <row r="24" spans="2:76" x14ac:dyDescent="0.3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v>7733.5908580000014</v>
      </c>
      <c r="AO24" s="21">
        <v>17752.456699000002</v>
      </c>
      <c r="AP24" s="21">
        <v>0</v>
      </c>
      <c r="AQ24" s="21">
        <v>13339.484664</v>
      </c>
      <c r="AR24" s="21">
        <v>19770.502956000004</v>
      </c>
      <c r="AS24" s="21">
        <f>'Capa Final'!$E$37+'Capa Final'!$E$46</f>
        <v>17431.186023000002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53">
        <v>21</v>
      </c>
      <c r="BW24" s="54">
        <v>4.3900000000000002E-2</v>
      </c>
      <c r="BX24" s="54">
        <v>5.7000000000000002E-2</v>
      </c>
    </row>
    <row r="25" spans="2:76" x14ac:dyDescent="0.3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75">X23/$B$6</f>
        <v>1.1763750359922815E-2</v>
      </c>
      <c r="Y25" s="47">
        <f t="shared" si="75"/>
        <v>1.2493027869031541E-2</v>
      </c>
      <c r="Z25" s="47">
        <f t="shared" si="75"/>
        <v>1.2810292241238032E-2</v>
      </c>
      <c r="AA25" s="47">
        <f t="shared" si="75"/>
        <v>1.3891098832557663E-2</v>
      </c>
      <c r="AB25" s="47">
        <f t="shared" si="75"/>
        <v>1.4779854132935017E-2</v>
      </c>
      <c r="AC25" s="47">
        <f t="shared" si="75"/>
        <v>1.5400349867795704E-2</v>
      </c>
      <c r="AD25" s="47">
        <f t="shared" ref="AD25:AE25" si="76">AD23/$B$6</f>
        <v>1.5572066620771187E-2</v>
      </c>
      <c r="AE25" s="47">
        <f t="shared" si="76"/>
        <v>1.6323560395347356E-2</v>
      </c>
      <c r="AF25" s="47">
        <f t="shared" ref="AF25:AG25" si="77">AF23/$B$6</f>
        <v>1.6575707834800685E-2</v>
      </c>
      <c r="AG25" s="47">
        <f t="shared" si="77"/>
        <v>1.6975872550055608E-2</v>
      </c>
      <c r="AH25" s="47">
        <f t="shared" ref="AH25:AI25" si="78">AH23/$B$6</f>
        <v>1.7169810757440711E-2</v>
      </c>
      <c r="AI25" s="47">
        <f t="shared" si="78"/>
        <v>1.7511917727216251E-2</v>
      </c>
      <c r="AJ25" s="47">
        <f t="shared" ref="AJ25:AK25" si="79">AJ23/$B$6</f>
        <v>1.8125890478867725E-2</v>
      </c>
      <c r="AK25" s="47">
        <f t="shared" si="79"/>
        <v>1.8261552761116705E-2</v>
      </c>
      <c r="AL25" s="47">
        <f t="shared" ref="AL25:AM25" si="80">AL23/$B$6</f>
        <v>1.8407393026140532E-2</v>
      </c>
      <c r="AM25" s="47">
        <f t="shared" si="80"/>
        <v>1.8939661546390461E-2</v>
      </c>
      <c r="AN25" s="47">
        <f t="shared" ref="AN25:AO25" si="81">AN23/$B$6</f>
        <v>1.8944136710489341E-2</v>
      </c>
      <c r="AO25" s="47">
        <f t="shared" si="81"/>
        <v>1.9126308646933789E-2</v>
      </c>
      <c r="AP25" s="47">
        <f t="shared" ref="AP25:AQ25" si="82">AP23/$B$6</f>
        <v>1.9137117438569055E-2</v>
      </c>
      <c r="AQ25" s="47">
        <f t="shared" si="82"/>
        <v>1.9312317690622624E-2</v>
      </c>
      <c r="AR25" s="47">
        <f t="shared" ref="AR25:AS25" si="83">AR23/$B$6</f>
        <v>1.948273739051604E-2</v>
      </c>
      <c r="AS25" s="47">
        <f t="shared" si="83"/>
        <v>1.9649419240946021E-2</v>
      </c>
      <c r="BV25" s="53">
        <v>22</v>
      </c>
      <c r="BW25" s="54">
        <v>4.6100000000000002E-2</v>
      </c>
      <c r="BX25" s="54">
        <v>5.9900000000000002E-2</v>
      </c>
    </row>
    <row r="26" spans="2:76" x14ac:dyDescent="0.3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84">IF(J25&gt;VLOOKUP(J22,$BV$3:$BX$75,2,0),"Gatilho atingido","Gatilho não atingido")</f>
        <v>Gatilho não atingido</v>
      </c>
      <c r="K26" s="47" t="str">
        <f t="shared" si="84"/>
        <v>Gatilho não atingido</v>
      </c>
      <c r="L26" s="47" t="str">
        <f t="shared" si="84"/>
        <v>Gatilho não atingido</v>
      </c>
      <c r="M26" s="47" t="str">
        <f t="shared" si="84"/>
        <v>Gatilho não atingido</v>
      </c>
      <c r="N26" s="47" t="str">
        <f t="shared" si="84"/>
        <v>Gatilho não atingido</v>
      </c>
      <c r="O26" s="47" t="str">
        <f t="shared" si="84"/>
        <v>Gatilho não atingido</v>
      </c>
      <c r="P26" s="47" t="str">
        <f t="shared" si="84"/>
        <v>Gatilho não atingido</v>
      </c>
      <c r="Q26" s="47" t="str">
        <f t="shared" si="84"/>
        <v>Gatilho não atingido</v>
      </c>
      <c r="R26" s="47" t="str">
        <f t="shared" si="84"/>
        <v>Gatilho não atingido</v>
      </c>
      <c r="S26" s="47" t="str">
        <f t="shared" si="84"/>
        <v>Gatilho não atingido</v>
      </c>
      <c r="T26" s="47" t="str">
        <f t="shared" si="84"/>
        <v>Gatilho não atingido</v>
      </c>
      <c r="U26" s="47" t="str">
        <f t="shared" si="84"/>
        <v>Gatilho não atingido</v>
      </c>
      <c r="V26" s="47" t="str">
        <f t="shared" si="84"/>
        <v>Gatilho não atingido</v>
      </c>
      <c r="W26" s="47" t="str">
        <f t="shared" si="84"/>
        <v>Gatilho não atingido</v>
      </c>
      <c r="X26" s="47" t="str">
        <f t="shared" si="84"/>
        <v>Gatilho não atingido</v>
      </c>
      <c r="Y26" s="47" t="str">
        <f t="shared" si="84"/>
        <v>Gatilho não atingido</v>
      </c>
      <c r="Z26" s="47" t="str">
        <f t="shared" si="84"/>
        <v>Gatilho não atingido</v>
      </c>
      <c r="AA26" s="47" t="str">
        <f t="shared" si="84"/>
        <v>Gatilho não atingido</v>
      </c>
      <c r="AB26" s="47" t="str">
        <f t="shared" si="84"/>
        <v>Gatilho não atingido</v>
      </c>
      <c r="AC26" s="47" t="str">
        <f t="shared" ref="AC26:AD26" si="85">IF(AC25&gt;VLOOKUP(AC22,$BV$3:$BX$75,2,0),"Gatilho atingido","Gatilho não atingido")</f>
        <v>Gatilho não atingido</v>
      </c>
      <c r="AD26" s="47" t="str">
        <f t="shared" si="85"/>
        <v>Gatilho não atingido</v>
      </c>
      <c r="AE26" s="47" t="str">
        <f t="shared" ref="AE26:AJ26" si="86">IF(AE25&gt;VLOOKUP(AE22,$BV$3:$BX$75,2,0),"Gatilho atingido","Gatilho não atingido")</f>
        <v>Gatilho não atingido</v>
      </c>
      <c r="AF26" s="47" t="str">
        <f t="shared" si="86"/>
        <v>Gatilho não atingido</v>
      </c>
      <c r="AG26" s="47" t="str">
        <f t="shared" si="86"/>
        <v>Gatilho não atingido</v>
      </c>
      <c r="AH26" s="47" t="str">
        <f t="shared" si="86"/>
        <v>Gatilho não atingido</v>
      </c>
      <c r="AI26" s="47" t="str">
        <f t="shared" si="86"/>
        <v>Gatilho não atingido</v>
      </c>
      <c r="AJ26" s="47" t="str">
        <f t="shared" si="86"/>
        <v>Gatilho não atingido</v>
      </c>
      <c r="AK26" s="47" t="str">
        <f t="shared" ref="AK26:AL26" si="87">IF(AK25&gt;VLOOKUP(AK22,$BV$3:$BX$75,2,0),"Gatilho atingido","Gatilho não atingido")</f>
        <v>Gatilho não atingido</v>
      </c>
      <c r="AL26" s="47" t="str">
        <f t="shared" si="87"/>
        <v>Gatilho não atingido</v>
      </c>
      <c r="AM26" s="47" t="str">
        <f t="shared" ref="AM26:AN26" si="88">IF(AM25&gt;VLOOKUP(AM22,$BV$3:$BX$75,2,0),"Gatilho atingido","Gatilho não atingido")</f>
        <v>Gatilho não atingido</v>
      </c>
      <c r="AN26" s="47" t="str">
        <f t="shared" si="88"/>
        <v>Gatilho não atingido</v>
      </c>
      <c r="AO26" s="47" t="str">
        <f t="shared" ref="AO26:AP26" si="89">IF(AO25&gt;VLOOKUP(AO22,$BV$3:$BX$75,2,0),"Gatilho atingido","Gatilho não atingido")</f>
        <v>Gatilho não atingido</v>
      </c>
      <c r="AP26" s="47" t="str">
        <f t="shared" si="89"/>
        <v>Gatilho não atingido</v>
      </c>
      <c r="AQ26" s="47" t="str">
        <f t="shared" ref="AQ26:AR26" si="90">IF(AQ25&gt;VLOOKUP(AQ22,$BV$3:$BX$75,2,0),"Gatilho atingido","Gatilho não atingido")</f>
        <v>Gatilho não atingido</v>
      </c>
      <c r="AR26" s="47" t="str">
        <f t="shared" si="90"/>
        <v>Gatilho não atingido</v>
      </c>
      <c r="AS26" s="47" t="str">
        <f t="shared" ref="AS26" si="91">IF(AS25&gt;VLOOKUP(AS22,$BV$3:$BX$75,2,0),"Gatilho atingido","Gatilho não atingido")</f>
        <v>Gatilho não atingido</v>
      </c>
      <c r="BV26" s="53">
        <v>23</v>
      </c>
      <c r="BW26" s="54">
        <v>4.8300000000000003E-2</v>
      </c>
      <c r="BX26" s="54">
        <v>6.2600000000000003E-2</v>
      </c>
    </row>
    <row r="27" spans="2:76" x14ac:dyDescent="0.3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92">IF(J25&gt;VLOOKUP(J22,$BV$3:$BX$75,3,0),"Gatilho atingido","Gatilho não atingido")</f>
        <v>Gatilho não atingido</v>
      </c>
      <c r="K27" s="47" t="str">
        <f t="shared" si="92"/>
        <v>Gatilho não atingido</v>
      </c>
      <c r="L27" s="47" t="str">
        <f t="shared" si="92"/>
        <v>Gatilho não atingido</v>
      </c>
      <c r="M27" s="47" t="str">
        <f t="shared" si="92"/>
        <v>Gatilho não atingido</v>
      </c>
      <c r="N27" s="47" t="str">
        <f t="shared" si="92"/>
        <v>Gatilho não atingido</v>
      </c>
      <c r="O27" s="47" t="str">
        <f t="shared" si="92"/>
        <v>Gatilho não atingido</v>
      </c>
      <c r="P27" s="47" t="str">
        <f t="shared" si="92"/>
        <v>Gatilho não atingido</v>
      </c>
      <c r="Q27" s="47" t="str">
        <f t="shared" si="92"/>
        <v>Gatilho não atingido</v>
      </c>
      <c r="R27" s="47" t="str">
        <f t="shared" si="92"/>
        <v>Gatilho não atingido</v>
      </c>
      <c r="S27" s="47" t="str">
        <f t="shared" si="92"/>
        <v>Gatilho não atingido</v>
      </c>
      <c r="T27" s="47" t="str">
        <f t="shared" si="92"/>
        <v>Gatilho não atingido</v>
      </c>
      <c r="U27" s="47" t="str">
        <f t="shared" si="92"/>
        <v>Gatilho não atingido</v>
      </c>
      <c r="V27" s="47" t="str">
        <f t="shared" si="92"/>
        <v>Gatilho não atingido</v>
      </c>
      <c r="W27" s="47" t="str">
        <f t="shared" si="92"/>
        <v>Gatilho não atingido</v>
      </c>
      <c r="X27" s="47" t="str">
        <f t="shared" si="92"/>
        <v>Gatilho não atingido</v>
      </c>
      <c r="Y27" s="47" t="str">
        <f t="shared" si="92"/>
        <v>Gatilho não atingido</v>
      </c>
      <c r="Z27" s="47" t="str">
        <f t="shared" si="92"/>
        <v>Gatilho não atingido</v>
      </c>
      <c r="AA27" s="47" t="str">
        <f t="shared" si="92"/>
        <v>Gatilho não atingido</v>
      </c>
      <c r="AB27" s="47" t="str">
        <f t="shared" si="92"/>
        <v>Gatilho não atingido</v>
      </c>
      <c r="AC27" s="47" t="str">
        <f t="shared" ref="AC27:AD27" si="93">IF(AC25&gt;VLOOKUP(AC22,$BV$3:$BX$75,3,0),"Gatilho atingido","Gatilho não atingido")</f>
        <v>Gatilho não atingido</v>
      </c>
      <c r="AD27" s="47" t="str">
        <f t="shared" si="93"/>
        <v>Gatilho não atingido</v>
      </c>
      <c r="AE27" s="47" t="str">
        <f t="shared" ref="AE27:AJ27" si="94">IF(AE25&gt;VLOOKUP(AE22,$BV$3:$BX$75,3,0),"Gatilho atingido","Gatilho não atingido")</f>
        <v>Gatilho não atingido</v>
      </c>
      <c r="AF27" s="47" t="str">
        <f t="shared" si="94"/>
        <v>Gatilho não atingido</v>
      </c>
      <c r="AG27" s="47" t="str">
        <f t="shared" si="94"/>
        <v>Gatilho não atingido</v>
      </c>
      <c r="AH27" s="47" t="str">
        <f t="shared" si="94"/>
        <v>Gatilho não atingido</v>
      </c>
      <c r="AI27" s="47" t="str">
        <f t="shared" si="94"/>
        <v>Gatilho não atingido</v>
      </c>
      <c r="AJ27" s="47" t="str">
        <f t="shared" si="94"/>
        <v>Gatilho não atingido</v>
      </c>
      <c r="AK27" s="47" t="str">
        <f t="shared" ref="AK27:AL27" si="95">IF(AK25&gt;VLOOKUP(AK22,$BV$3:$BX$75,3,0),"Gatilho atingido","Gatilho não atingido")</f>
        <v>Gatilho não atingido</v>
      </c>
      <c r="AL27" s="47" t="str">
        <f t="shared" si="95"/>
        <v>Gatilho não atingido</v>
      </c>
      <c r="AM27" s="47" t="str">
        <f t="shared" ref="AM27:AN27" si="96">IF(AM25&gt;VLOOKUP(AM22,$BV$3:$BX$75,3,0),"Gatilho atingido","Gatilho não atingido")</f>
        <v>Gatilho não atingido</v>
      </c>
      <c r="AN27" s="47" t="str">
        <f t="shared" si="96"/>
        <v>Gatilho não atingido</v>
      </c>
      <c r="AO27" s="47" t="str">
        <f t="shared" ref="AO27:AP27" si="97">IF(AO25&gt;VLOOKUP(AO22,$BV$3:$BX$75,3,0),"Gatilho atingido","Gatilho não atingido")</f>
        <v>Gatilho não atingido</v>
      </c>
      <c r="AP27" s="47" t="str">
        <f t="shared" si="97"/>
        <v>Gatilho não atingido</v>
      </c>
      <c r="AQ27" s="47" t="str">
        <f t="shared" ref="AQ27:AR27" si="98">IF(AQ25&gt;VLOOKUP(AQ22,$BV$3:$BX$75,3,0),"Gatilho atingido","Gatilho não atingido")</f>
        <v>Gatilho não atingido</v>
      </c>
      <c r="AR27" s="47" t="str">
        <f t="shared" si="98"/>
        <v>Gatilho não atingido</v>
      </c>
      <c r="AS27" s="47" t="str">
        <f t="shared" ref="AS27" si="99">IF(AS25&gt;VLOOKUP(AS22,$BV$3:$BX$75,3,0),"Gatilho atingido","Gatilho não atingido")</f>
        <v>Gatilho não atingido</v>
      </c>
      <c r="BV27" s="53">
        <v>24</v>
      </c>
      <c r="BW27" s="54">
        <v>5.04E-2</v>
      </c>
      <c r="BX27" s="54">
        <v>6.54E-2</v>
      </c>
    </row>
    <row r="28" spans="2:76" x14ac:dyDescent="0.3">
      <c r="B28" s="43"/>
      <c r="C28" s="78"/>
      <c r="D28" s="43"/>
      <c r="AT28" s="46"/>
      <c r="BV28" s="53">
        <v>25</v>
      </c>
      <c r="BW28" s="54">
        <v>5.2499999999999998E-2</v>
      </c>
      <c r="BX28" s="54">
        <v>6.8000000000000005E-2</v>
      </c>
    </row>
    <row r="29" spans="2:76" x14ac:dyDescent="0.3">
      <c r="B29" s="49"/>
      <c r="C29" s="79"/>
      <c r="D29" s="49"/>
      <c r="F29" s="13"/>
      <c r="G29" s="98" t="s">
        <v>116</v>
      </c>
      <c r="H29" s="98"/>
      <c r="I29" s="98"/>
      <c r="J29" s="98"/>
      <c r="K29" s="98"/>
      <c r="L29" s="98"/>
      <c r="M29" s="98"/>
      <c r="N29" s="98"/>
      <c r="O29" s="98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53">
        <v>26</v>
      </c>
      <c r="BW29" s="54">
        <v>5.4399999999999997E-2</v>
      </c>
      <c r="BX29" s="54">
        <v>7.0400000000000004E-2</v>
      </c>
    </row>
    <row r="30" spans="2:76" x14ac:dyDescent="0.3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100">EDATE(G30,1)</f>
        <v>43800</v>
      </c>
      <c r="I30" s="39">
        <f t="shared" si="100"/>
        <v>43831</v>
      </c>
      <c r="J30" s="39">
        <f t="shared" si="100"/>
        <v>43862</v>
      </c>
      <c r="K30" s="39">
        <f t="shared" si="100"/>
        <v>43891</v>
      </c>
      <c r="L30" s="39">
        <f t="shared" si="100"/>
        <v>43922</v>
      </c>
      <c r="M30" s="39">
        <f t="shared" si="100"/>
        <v>43952</v>
      </c>
      <c r="N30" s="39">
        <f t="shared" si="100"/>
        <v>43983</v>
      </c>
      <c r="O30" s="39">
        <f t="shared" si="100"/>
        <v>44013</v>
      </c>
      <c r="P30" s="39">
        <f t="shared" ref="P30:U30" si="101">EDATE(O30,1)</f>
        <v>44044</v>
      </c>
      <c r="Q30" s="39">
        <f t="shared" si="101"/>
        <v>44075</v>
      </c>
      <c r="R30" s="39">
        <f t="shared" si="101"/>
        <v>44105</v>
      </c>
      <c r="S30" s="39">
        <f t="shared" si="101"/>
        <v>44136</v>
      </c>
      <c r="T30" s="39">
        <f t="shared" si="101"/>
        <v>44166</v>
      </c>
      <c r="U30" s="39">
        <f t="shared" si="101"/>
        <v>44197</v>
      </c>
      <c r="V30" s="39">
        <f t="shared" ref="V30:AS30" si="102">EDATE(U30,1)</f>
        <v>44228</v>
      </c>
      <c r="W30" s="39">
        <f t="shared" si="102"/>
        <v>44256</v>
      </c>
      <c r="X30" s="39">
        <f t="shared" si="102"/>
        <v>44287</v>
      </c>
      <c r="Y30" s="39">
        <f t="shared" si="102"/>
        <v>44317</v>
      </c>
      <c r="Z30" s="39">
        <f t="shared" si="102"/>
        <v>44348</v>
      </c>
      <c r="AA30" s="39">
        <f t="shared" si="102"/>
        <v>44378</v>
      </c>
      <c r="AB30" s="39">
        <f t="shared" si="102"/>
        <v>44409</v>
      </c>
      <c r="AC30" s="39">
        <f t="shared" si="102"/>
        <v>44440</v>
      </c>
      <c r="AD30" s="39">
        <f t="shared" si="102"/>
        <v>44470</v>
      </c>
      <c r="AE30" s="39">
        <f t="shared" si="102"/>
        <v>44501</v>
      </c>
      <c r="AF30" s="39">
        <f t="shared" si="102"/>
        <v>44531</v>
      </c>
      <c r="AG30" s="39">
        <f t="shared" si="102"/>
        <v>44562</v>
      </c>
      <c r="AH30" s="39">
        <f t="shared" si="102"/>
        <v>44593</v>
      </c>
      <c r="AI30" s="39">
        <f t="shared" si="102"/>
        <v>44621</v>
      </c>
      <c r="AJ30" s="39">
        <f t="shared" si="102"/>
        <v>44652</v>
      </c>
      <c r="AK30" s="39">
        <f t="shared" si="102"/>
        <v>44682</v>
      </c>
      <c r="AL30" s="39">
        <f t="shared" si="102"/>
        <v>44713</v>
      </c>
      <c r="AM30" s="39">
        <f t="shared" si="102"/>
        <v>44743</v>
      </c>
      <c r="AN30" s="39">
        <f t="shared" si="102"/>
        <v>44774</v>
      </c>
      <c r="AO30" s="39">
        <f t="shared" si="102"/>
        <v>44805</v>
      </c>
      <c r="AP30" s="39">
        <f t="shared" si="102"/>
        <v>44835</v>
      </c>
      <c r="AQ30" s="39">
        <f t="shared" si="102"/>
        <v>44866</v>
      </c>
      <c r="AR30" s="39">
        <f t="shared" si="102"/>
        <v>44896</v>
      </c>
      <c r="AS30" s="39">
        <f t="shared" si="102"/>
        <v>44927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53">
        <v>27</v>
      </c>
      <c r="BW30" s="54">
        <v>5.6099999999999997E-2</v>
      </c>
      <c r="BX30" s="54">
        <v>7.2599999999999998E-2</v>
      </c>
    </row>
    <row r="31" spans="2:76" x14ac:dyDescent="0.3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103">J31+1</f>
        <v>1</v>
      </c>
      <c r="L31" s="50">
        <f t="shared" si="103"/>
        <v>2</v>
      </c>
      <c r="M31" s="50">
        <f t="shared" si="103"/>
        <v>3</v>
      </c>
      <c r="N31" s="50">
        <f t="shared" si="103"/>
        <v>4</v>
      </c>
      <c r="O31" s="50">
        <f t="shared" si="103"/>
        <v>5</v>
      </c>
      <c r="P31" s="50">
        <f t="shared" ref="P31:U31" si="104">O31+1</f>
        <v>6</v>
      </c>
      <c r="Q31" s="50">
        <f t="shared" si="104"/>
        <v>7</v>
      </c>
      <c r="R31" s="50">
        <f t="shared" si="104"/>
        <v>8</v>
      </c>
      <c r="S31" s="50">
        <f t="shared" si="104"/>
        <v>9</v>
      </c>
      <c r="T31" s="50">
        <f t="shared" si="104"/>
        <v>10</v>
      </c>
      <c r="U31" s="50">
        <f t="shared" si="104"/>
        <v>11</v>
      </c>
      <c r="V31" s="50">
        <f t="shared" ref="V31:AS31" si="105">U31+1</f>
        <v>12</v>
      </c>
      <c r="W31" s="50">
        <f t="shared" si="105"/>
        <v>13</v>
      </c>
      <c r="X31" s="50">
        <f t="shared" si="105"/>
        <v>14</v>
      </c>
      <c r="Y31" s="50">
        <f t="shared" si="105"/>
        <v>15</v>
      </c>
      <c r="Z31" s="50">
        <f t="shared" si="105"/>
        <v>16</v>
      </c>
      <c r="AA31" s="50">
        <f t="shared" si="105"/>
        <v>17</v>
      </c>
      <c r="AB31" s="50">
        <f t="shared" si="105"/>
        <v>18</v>
      </c>
      <c r="AC31" s="50">
        <f t="shared" si="105"/>
        <v>19</v>
      </c>
      <c r="AD31" s="50">
        <f t="shared" si="105"/>
        <v>20</v>
      </c>
      <c r="AE31" s="50">
        <f t="shared" si="105"/>
        <v>21</v>
      </c>
      <c r="AF31" s="50">
        <f t="shared" si="105"/>
        <v>22</v>
      </c>
      <c r="AG31" s="50">
        <f t="shared" si="105"/>
        <v>23</v>
      </c>
      <c r="AH31" s="50">
        <f t="shared" si="105"/>
        <v>24</v>
      </c>
      <c r="AI31" s="50">
        <f t="shared" si="105"/>
        <v>25</v>
      </c>
      <c r="AJ31" s="50">
        <f t="shared" si="105"/>
        <v>26</v>
      </c>
      <c r="AK31" s="50">
        <f t="shared" si="105"/>
        <v>27</v>
      </c>
      <c r="AL31" s="50">
        <f t="shared" si="105"/>
        <v>28</v>
      </c>
      <c r="AM31" s="50">
        <f t="shared" si="105"/>
        <v>29</v>
      </c>
      <c r="AN31" s="50">
        <f t="shared" si="105"/>
        <v>30</v>
      </c>
      <c r="AO31" s="50">
        <f t="shared" si="105"/>
        <v>31</v>
      </c>
      <c r="AP31" s="50">
        <f t="shared" si="105"/>
        <v>32</v>
      </c>
      <c r="AQ31" s="50">
        <f t="shared" si="105"/>
        <v>33</v>
      </c>
      <c r="AR31" s="50">
        <f t="shared" si="105"/>
        <v>34</v>
      </c>
      <c r="AS31" s="50">
        <f t="shared" si="105"/>
        <v>35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53">
        <v>28</v>
      </c>
      <c r="BW31" s="54">
        <v>5.7799999999999997E-2</v>
      </c>
      <c r="BX31" s="54">
        <v>7.4700000000000003E-2</v>
      </c>
    </row>
    <row r="32" spans="2:76" x14ac:dyDescent="0.3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v>1838034.861947</v>
      </c>
      <c r="AO32" s="21">
        <v>1863698.6726310002</v>
      </c>
      <c r="AP32" s="21">
        <v>1865425.729115</v>
      </c>
      <c r="AQ32" s="21">
        <v>1891897.8173720003</v>
      </c>
      <c r="AR32" s="21">
        <v>1915660.7400499997</v>
      </c>
      <c r="AS32" s="21">
        <f>SUM('Capa Final'!$F$37:$F$38)+SUM('Capa Final'!$F$46:$F$47)</f>
        <v>1916149.6280440004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53">
        <v>29</v>
      </c>
      <c r="BW32" s="54">
        <v>5.9400000000000001E-2</v>
      </c>
      <c r="BX32" s="54">
        <v>7.6700000000000004E-2</v>
      </c>
    </row>
    <row r="33" spans="2:76" x14ac:dyDescent="0.3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v>51320.180626999994</v>
      </c>
      <c r="AO33" s="21">
        <v>60782.116388999988</v>
      </c>
      <c r="AP33" s="21">
        <v>26170.056385999997</v>
      </c>
      <c r="AQ33" s="21">
        <v>50809.934133999996</v>
      </c>
      <c r="AR33" s="21">
        <v>45273.068858999999</v>
      </c>
      <c r="AS33" s="21">
        <f>'Capa Final'!$F$37+'Capa Final'!$F$46</f>
        <v>23689.115394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53">
        <v>30</v>
      </c>
      <c r="BW33" s="54">
        <v>6.08E-2</v>
      </c>
      <c r="BX33" s="54">
        <v>7.8600000000000003E-2</v>
      </c>
    </row>
    <row r="34" spans="2:76" x14ac:dyDescent="0.3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106">X32/$B$7</f>
        <v>1.2787638200354721E-2</v>
      </c>
      <c r="Y34" s="47">
        <f t="shared" si="106"/>
        <v>1.380891787133641E-2</v>
      </c>
      <c r="Z34" s="47">
        <f t="shared" si="106"/>
        <v>1.4612944436498798E-2</v>
      </c>
      <c r="AA34" s="47">
        <f t="shared" si="106"/>
        <v>1.6255770057316904E-2</v>
      </c>
      <c r="AB34" s="47">
        <f t="shared" si="106"/>
        <v>1.6741730046053692E-2</v>
      </c>
      <c r="AC34" s="47">
        <f t="shared" si="106"/>
        <v>1.7029446946896069E-2</v>
      </c>
      <c r="AD34" s="47">
        <f t="shared" ref="AD34:AE34" si="107">AD32/$B$7</f>
        <v>1.7470787333229338E-2</v>
      </c>
      <c r="AE34" s="47">
        <f t="shared" si="107"/>
        <v>1.8156271400852034E-2</v>
      </c>
      <c r="AF34" s="47">
        <f t="shared" ref="AF34:AG34" si="108">AF32/$B$7</f>
        <v>1.8459477243406484E-2</v>
      </c>
      <c r="AG34" s="47">
        <f t="shared" si="108"/>
        <v>1.8714336333635947E-2</v>
      </c>
      <c r="AH34" s="47">
        <f t="shared" ref="AH34:AI34" si="109">AH32/$B$7</f>
        <v>1.9432470282141102E-2</v>
      </c>
      <c r="AI34" s="47">
        <f t="shared" si="109"/>
        <v>1.9449109065413493E-2</v>
      </c>
      <c r="AJ34" s="47">
        <f t="shared" ref="AJ34:AK34" si="110">AJ32/$B$7</f>
        <v>1.9767635593203416E-2</v>
      </c>
      <c r="AK34" s="47">
        <f t="shared" si="110"/>
        <v>1.9732025242556295E-2</v>
      </c>
      <c r="AL34" s="47">
        <f t="shared" ref="AL34:AM34" si="111">AL32/$B$7</f>
        <v>1.9774618704306364E-2</v>
      </c>
      <c r="AM34" s="47">
        <f t="shared" si="111"/>
        <v>1.9948912938608291E-2</v>
      </c>
      <c r="AN34" s="47">
        <f t="shared" ref="AN34:AO34" si="112">AN32/$B$7</f>
        <v>1.9471759374683477E-2</v>
      </c>
      <c r="AO34" s="47">
        <f t="shared" si="112"/>
        <v>1.9743636452002312E-2</v>
      </c>
      <c r="AP34" s="47">
        <f t="shared" ref="AP34:AQ34" si="113">AP32/$B$7</f>
        <v>1.9761932529502882E-2</v>
      </c>
      <c r="AQ34" s="47">
        <f t="shared" si="113"/>
        <v>2.0042372331465986E-2</v>
      </c>
      <c r="AR34" s="47">
        <f t="shared" ref="AR34:AS34" si="114">AR32/$B$7</f>
        <v>2.0294111796263229E-2</v>
      </c>
      <c r="AS34" s="47">
        <f t="shared" si="114"/>
        <v>2.0299290974078316E-2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53">
        <v>31</v>
      </c>
      <c r="BW34" s="54">
        <v>6.2199999999999998E-2</v>
      </c>
      <c r="BX34" s="54">
        <v>8.0299999999999996E-2</v>
      </c>
    </row>
    <row r="35" spans="2:76" x14ac:dyDescent="0.3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115">IF(K34&gt;VLOOKUP(K31,$BV$3:$BX$75,2,0),"Gatilho atingido","Gatilho não atingido")</f>
        <v>Gatilho não atingido</v>
      </c>
      <c r="L35" s="47" t="str">
        <f t="shared" si="115"/>
        <v>Gatilho não atingido</v>
      </c>
      <c r="M35" s="47" t="str">
        <f t="shared" si="115"/>
        <v>Gatilho não atingido</v>
      </c>
      <c r="N35" s="47" t="str">
        <f t="shared" si="115"/>
        <v>Gatilho não atingido</v>
      </c>
      <c r="O35" s="47" t="str">
        <f t="shared" si="115"/>
        <v>Gatilho não atingido</v>
      </c>
      <c r="P35" s="47" t="str">
        <f t="shared" si="115"/>
        <v>Gatilho não atingido</v>
      </c>
      <c r="Q35" s="47" t="str">
        <f t="shared" si="115"/>
        <v>Gatilho não atingido</v>
      </c>
      <c r="R35" s="47" t="str">
        <f t="shared" si="115"/>
        <v>Gatilho não atingido</v>
      </c>
      <c r="S35" s="47" t="str">
        <f t="shared" si="115"/>
        <v>Gatilho não atingido</v>
      </c>
      <c r="T35" s="47" t="str">
        <f t="shared" si="115"/>
        <v>Gatilho não atingido</v>
      </c>
      <c r="U35" s="47" t="str">
        <f t="shared" si="115"/>
        <v>Gatilho não atingido</v>
      </c>
      <c r="V35" s="47" t="str">
        <f t="shared" si="115"/>
        <v>Gatilho não atingido</v>
      </c>
      <c r="W35" s="47" t="str">
        <f t="shared" si="115"/>
        <v>Gatilho não atingido</v>
      </c>
      <c r="X35" s="47" t="str">
        <f t="shared" si="115"/>
        <v>Gatilho não atingido</v>
      </c>
      <c r="Y35" s="47" t="str">
        <f t="shared" si="115"/>
        <v>Gatilho não atingido</v>
      </c>
      <c r="Z35" s="47" t="str">
        <f t="shared" si="115"/>
        <v>Gatilho não atingido</v>
      </c>
      <c r="AA35" s="47" t="str">
        <f t="shared" si="115"/>
        <v>Gatilho não atingido</v>
      </c>
      <c r="AB35" s="47" t="str">
        <f t="shared" si="115"/>
        <v>Gatilho não atingido</v>
      </c>
      <c r="AC35" s="47" t="str">
        <f t="shared" ref="AC35:AD35" si="116">IF(AC34&gt;VLOOKUP(AC31,$BV$3:$BX$75,2,0),"Gatilho atingido","Gatilho não atingido")</f>
        <v>Gatilho não atingido</v>
      </c>
      <c r="AD35" s="47" t="str">
        <f t="shared" si="116"/>
        <v>Gatilho não atingido</v>
      </c>
      <c r="AE35" s="47" t="str">
        <f t="shared" ref="AE35:AJ35" si="117">IF(AE34&gt;VLOOKUP(AE31,$BV$3:$BX$75,2,0),"Gatilho atingido","Gatilho não atingido")</f>
        <v>Gatilho não atingido</v>
      </c>
      <c r="AF35" s="47" t="str">
        <f t="shared" si="117"/>
        <v>Gatilho não atingido</v>
      </c>
      <c r="AG35" s="47" t="str">
        <f t="shared" si="117"/>
        <v>Gatilho não atingido</v>
      </c>
      <c r="AH35" s="47" t="str">
        <f t="shared" si="117"/>
        <v>Gatilho não atingido</v>
      </c>
      <c r="AI35" s="47" t="str">
        <f t="shared" si="117"/>
        <v>Gatilho não atingido</v>
      </c>
      <c r="AJ35" s="47" t="str">
        <f t="shared" si="117"/>
        <v>Gatilho não atingido</v>
      </c>
      <c r="AK35" s="47" t="str">
        <f t="shared" ref="AK35:AL35" si="118">IF(AK34&gt;VLOOKUP(AK31,$BV$3:$BX$75,2,0),"Gatilho atingido","Gatilho não atingido")</f>
        <v>Gatilho não atingido</v>
      </c>
      <c r="AL35" s="47" t="str">
        <f t="shared" si="118"/>
        <v>Gatilho não atingido</v>
      </c>
      <c r="AM35" s="47" t="str">
        <f t="shared" ref="AM35:AN35" si="119">IF(AM34&gt;VLOOKUP(AM31,$BV$3:$BX$75,2,0),"Gatilho atingido","Gatilho não atingido")</f>
        <v>Gatilho não atingido</v>
      </c>
      <c r="AN35" s="47" t="str">
        <f t="shared" si="119"/>
        <v>Gatilho não atingido</v>
      </c>
      <c r="AO35" s="47" t="str">
        <f t="shared" ref="AO35:AP35" si="120">IF(AO34&gt;VLOOKUP(AO31,$BV$3:$BX$75,2,0),"Gatilho atingido","Gatilho não atingido")</f>
        <v>Gatilho não atingido</v>
      </c>
      <c r="AP35" s="47" t="str">
        <f t="shared" si="120"/>
        <v>Gatilho não atingido</v>
      </c>
      <c r="AQ35" s="47" t="str">
        <f t="shared" ref="AQ35:AR35" si="121">IF(AQ34&gt;VLOOKUP(AQ31,$BV$3:$BX$75,2,0),"Gatilho atingido","Gatilho não atingido")</f>
        <v>Gatilho não atingido</v>
      </c>
      <c r="AR35" s="47" t="str">
        <f t="shared" si="121"/>
        <v>Gatilho não atingido</v>
      </c>
      <c r="AS35" s="47" t="str">
        <f t="shared" ref="AS35" si="122">IF(AS34&gt;VLOOKUP(AS31,$BV$3:$BX$75,2,0),"Gatilho atingido","Gatilho não atingido")</f>
        <v>Gatilho não atingido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53">
        <v>32</v>
      </c>
      <c r="BW35" s="54">
        <v>6.3299999999999995E-2</v>
      </c>
      <c r="BX35" s="54">
        <v>8.1600000000000006E-2</v>
      </c>
    </row>
    <row r="36" spans="2:76" x14ac:dyDescent="0.3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123">IF(K34&gt;VLOOKUP(K31,$BV$3:$BX$75,3,0),"Gatilho atingido","Gatilho não atingido")</f>
        <v>Gatilho não atingido</v>
      </c>
      <c r="L36" s="47" t="str">
        <f t="shared" si="123"/>
        <v>Gatilho não atingido</v>
      </c>
      <c r="M36" s="47" t="str">
        <f t="shared" si="123"/>
        <v>Gatilho não atingido</v>
      </c>
      <c r="N36" s="47" t="str">
        <f t="shared" si="123"/>
        <v>Gatilho não atingido</v>
      </c>
      <c r="O36" s="47" t="str">
        <f t="shared" si="123"/>
        <v>Gatilho não atingido</v>
      </c>
      <c r="P36" s="47" t="str">
        <f t="shared" si="123"/>
        <v>Gatilho não atingido</v>
      </c>
      <c r="Q36" s="47" t="str">
        <f t="shared" si="123"/>
        <v>Gatilho não atingido</v>
      </c>
      <c r="R36" s="47" t="str">
        <f t="shared" si="123"/>
        <v>Gatilho não atingido</v>
      </c>
      <c r="S36" s="47" t="str">
        <f t="shared" si="123"/>
        <v>Gatilho não atingido</v>
      </c>
      <c r="T36" s="47" t="str">
        <f t="shared" si="123"/>
        <v>Gatilho não atingido</v>
      </c>
      <c r="U36" s="47" t="str">
        <f t="shared" si="123"/>
        <v>Gatilho não atingido</v>
      </c>
      <c r="V36" s="47" t="str">
        <f t="shared" si="123"/>
        <v>Gatilho não atingido</v>
      </c>
      <c r="W36" s="47" t="str">
        <f t="shared" si="123"/>
        <v>Gatilho não atingido</v>
      </c>
      <c r="X36" s="47" t="str">
        <f t="shared" si="123"/>
        <v>Gatilho não atingido</v>
      </c>
      <c r="Y36" s="47" t="str">
        <f t="shared" si="123"/>
        <v>Gatilho não atingido</v>
      </c>
      <c r="Z36" s="47" t="str">
        <f t="shared" si="123"/>
        <v>Gatilho não atingido</v>
      </c>
      <c r="AA36" s="47" t="str">
        <f t="shared" si="123"/>
        <v>Gatilho não atingido</v>
      </c>
      <c r="AB36" s="47" t="str">
        <f t="shared" si="123"/>
        <v>Gatilho não atingido</v>
      </c>
      <c r="AC36" s="47" t="str">
        <f t="shared" ref="AC36:AD36" si="124">IF(AC34&gt;VLOOKUP(AC31,$BV$3:$BX$75,3,0),"Gatilho atingido","Gatilho não atingido")</f>
        <v>Gatilho não atingido</v>
      </c>
      <c r="AD36" s="47" t="str">
        <f t="shared" si="124"/>
        <v>Gatilho não atingido</v>
      </c>
      <c r="AE36" s="47" t="str">
        <f t="shared" ref="AE36:AJ36" si="125">IF(AE34&gt;VLOOKUP(AE31,$BV$3:$BX$75,3,0),"Gatilho atingido","Gatilho não atingido")</f>
        <v>Gatilho não atingido</v>
      </c>
      <c r="AF36" s="47" t="str">
        <f t="shared" si="125"/>
        <v>Gatilho não atingido</v>
      </c>
      <c r="AG36" s="47" t="str">
        <f t="shared" si="125"/>
        <v>Gatilho não atingido</v>
      </c>
      <c r="AH36" s="47" t="str">
        <f t="shared" si="125"/>
        <v>Gatilho não atingido</v>
      </c>
      <c r="AI36" s="47" t="str">
        <f t="shared" si="125"/>
        <v>Gatilho não atingido</v>
      </c>
      <c r="AJ36" s="47" t="str">
        <f t="shared" si="125"/>
        <v>Gatilho não atingido</v>
      </c>
      <c r="AK36" s="47" t="str">
        <f t="shared" ref="AK36:AL36" si="126">IF(AK34&gt;VLOOKUP(AK31,$BV$3:$BX$75,3,0),"Gatilho atingido","Gatilho não atingido")</f>
        <v>Gatilho não atingido</v>
      </c>
      <c r="AL36" s="47" t="str">
        <f t="shared" si="126"/>
        <v>Gatilho não atingido</v>
      </c>
      <c r="AM36" s="47" t="str">
        <f t="shared" ref="AM36:AN36" si="127">IF(AM34&gt;VLOOKUP(AM31,$BV$3:$BX$75,3,0),"Gatilho atingido","Gatilho não atingido")</f>
        <v>Gatilho não atingido</v>
      </c>
      <c r="AN36" s="47" t="str">
        <f t="shared" si="127"/>
        <v>Gatilho não atingido</v>
      </c>
      <c r="AO36" s="47" t="str">
        <f t="shared" ref="AO36:AP36" si="128">IF(AO34&gt;VLOOKUP(AO31,$BV$3:$BX$75,3,0),"Gatilho atingido","Gatilho não atingido")</f>
        <v>Gatilho não atingido</v>
      </c>
      <c r="AP36" s="47" t="str">
        <f t="shared" si="128"/>
        <v>Gatilho não atingido</v>
      </c>
      <c r="AQ36" s="47" t="str">
        <f t="shared" ref="AQ36:AR36" si="129">IF(AQ34&gt;VLOOKUP(AQ31,$BV$3:$BX$75,3,0),"Gatilho atingido","Gatilho não atingido")</f>
        <v>Gatilho não atingido</v>
      </c>
      <c r="AR36" s="47" t="str">
        <f t="shared" si="129"/>
        <v>Gatilho não atingido</v>
      </c>
      <c r="AS36" s="47" t="str">
        <f t="shared" ref="AS36" si="130">IF(AS34&gt;VLOOKUP(AS31,$BV$3:$BX$75,3,0),"Gatilho atingido","Gatilho não atingido")</f>
        <v>Gatilho não atingido</v>
      </c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53">
        <v>33</v>
      </c>
      <c r="BW36" s="54">
        <v>6.4199999999999993E-2</v>
      </c>
      <c r="BX36" s="54">
        <v>8.2799999999999999E-2</v>
      </c>
    </row>
    <row r="37" spans="2:76" x14ac:dyDescent="0.3">
      <c r="BV37" s="53">
        <v>34</v>
      </c>
      <c r="BW37" s="54">
        <v>6.4899999999999999E-2</v>
      </c>
      <c r="BX37" s="54">
        <v>8.3699999999999997E-2</v>
      </c>
    </row>
    <row r="38" spans="2:76" x14ac:dyDescent="0.3">
      <c r="F38" s="13"/>
      <c r="G38" s="98" t="s">
        <v>116</v>
      </c>
      <c r="H38" s="98"/>
      <c r="I38" s="98"/>
      <c r="J38" s="98"/>
      <c r="K38" s="98"/>
      <c r="L38" s="98"/>
      <c r="M38" s="98"/>
      <c r="N38" s="98"/>
      <c r="O38" s="98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BV38" s="53">
        <v>35</v>
      </c>
      <c r="BW38" s="54">
        <v>6.5600000000000006E-2</v>
      </c>
      <c r="BX38" s="54">
        <v>8.4500000000000006E-2</v>
      </c>
    </row>
    <row r="39" spans="2:76" x14ac:dyDescent="0.3">
      <c r="F39" s="38" t="s">
        <v>125</v>
      </c>
      <c r="G39" s="39">
        <v>43770</v>
      </c>
      <c r="H39" s="39">
        <f t="shared" ref="H39:O39" si="131">EDATE(G39,1)</f>
        <v>43800</v>
      </c>
      <c r="I39" s="39">
        <f t="shared" si="131"/>
        <v>43831</v>
      </c>
      <c r="J39" s="39">
        <f t="shared" si="131"/>
        <v>43862</v>
      </c>
      <c r="K39" s="39">
        <f t="shared" si="131"/>
        <v>43891</v>
      </c>
      <c r="L39" s="39">
        <f t="shared" si="131"/>
        <v>43922</v>
      </c>
      <c r="M39" s="39">
        <f t="shared" si="131"/>
        <v>43952</v>
      </c>
      <c r="N39" s="39">
        <f t="shared" si="131"/>
        <v>43983</v>
      </c>
      <c r="O39" s="39">
        <f t="shared" si="131"/>
        <v>44013</v>
      </c>
      <c r="P39" s="39">
        <f t="shared" ref="P39:U39" si="132">EDATE(O39,1)</f>
        <v>44044</v>
      </c>
      <c r="Q39" s="39">
        <f t="shared" si="132"/>
        <v>44075</v>
      </c>
      <c r="R39" s="39">
        <f t="shared" si="132"/>
        <v>44105</v>
      </c>
      <c r="S39" s="39">
        <f t="shared" si="132"/>
        <v>44136</v>
      </c>
      <c r="T39" s="39">
        <f t="shared" si="132"/>
        <v>44166</v>
      </c>
      <c r="U39" s="39">
        <f t="shared" si="132"/>
        <v>44197</v>
      </c>
      <c r="V39" s="39">
        <f t="shared" ref="V39:AS39" si="133">EDATE(U39,1)</f>
        <v>44228</v>
      </c>
      <c r="W39" s="39">
        <f t="shared" si="133"/>
        <v>44256</v>
      </c>
      <c r="X39" s="39">
        <f t="shared" si="133"/>
        <v>44287</v>
      </c>
      <c r="Y39" s="39">
        <f t="shared" si="133"/>
        <v>44317</v>
      </c>
      <c r="Z39" s="39">
        <f t="shared" si="133"/>
        <v>44348</v>
      </c>
      <c r="AA39" s="39">
        <f t="shared" si="133"/>
        <v>44378</v>
      </c>
      <c r="AB39" s="39">
        <f t="shared" si="133"/>
        <v>44409</v>
      </c>
      <c r="AC39" s="39">
        <f t="shared" si="133"/>
        <v>44440</v>
      </c>
      <c r="AD39" s="39">
        <f t="shared" si="133"/>
        <v>44470</v>
      </c>
      <c r="AE39" s="39">
        <f t="shared" si="133"/>
        <v>44501</v>
      </c>
      <c r="AF39" s="39">
        <f t="shared" si="133"/>
        <v>44531</v>
      </c>
      <c r="AG39" s="39">
        <f t="shared" si="133"/>
        <v>44562</v>
      </c>
      <c r="AH39" s="39">
        <f t="shared" si="133"/>
        <v>44593</v>
      </c>
      <c r="AI39" s="39">
        <f t="shared" si="133"/>
        <v>44621</v>
      </c>
      <c r="AJ39" s="39">
        <f t="shared" si="133"/>
        <v>44652</v>
      </c>
      <c r="AK39" s="39">
        <f t="shared" si="133"/>
        <v>44682</v>
      </c>
      <c r="AL39" s="39">
        <f t="shared" si="133"/>
        <v>44713</v>
      </c>
      <c r="AM39" s="39">
        <f t="shared" si="133"/>
        <v>44743</v>
      </c>
      <c r="AN39" s="39">
        <f t="shared" si="133"/>
        <v>44774</v>
      </c>
      <c r="AO39" s="39">
        <f t="shared" si="133"/>
        <v>44805</v>
      </c>
      <c r="AP39" s="39">
        <f t="shared" si="133"/>
        <v>44835</v>
      </c>
      <c r="AQ39" s="39">
        <f t="shared" si="133"/>
        <v>44866</v>
      </c>
      <c r="AR39" s="39">
        <f t="shared" si="133"/>
        <v>44896</v>
      </c>
      <c r="AS39" s="39">
        <f t="shared" si="133"/>
        <v>44927</v>
      </c>
      <c r="BV39" s="53">
        <v>36</v>
      </c>
      <c r="BW39" s="54">
        <v>6.6100000000000006E-2</v>
      </c>
      <c r="BX39" s="54">
        <v>8.5199999999999998E-2</v>
      </c>
    </row>
    <row r="40" spans="2:76" x14ac:dyDescent="0.3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34">K40+1</f>
        <v>1</v>
      </c>
      <c r="M40" s="50">
        <f t="shared" si="134"/>
        <v>2</v>
      </c>
      <c r="N40" s="50">
        <f t="shared" si="134"/>
        <v>3</v>
      </c>
      <c r="O40" s="50">
        <f t="shared" si="134"/>
        <v>4</v>
      </c>
      <c r="P40" s="50">
        <f t="shared" ref="P40:U40" si="135">O40+1</f>
        <v>5</v>
      </c>
      <c r="Q40" s="50">
        <f t="shared" si="135"/>
        <v>6</v>
      </c>
      <c r="R40" s="50">
        <f t="shared" si="135"/>
        <v>7</v>
      </c>
      <c r="S40" s="50">
        <f t="shared" si="135"/>
        <v>8</v>
      </c>
      <c r="T40" s="50">
        <f t="shared" si="135"/>
        <v>9</v>
      </c>
      <c r="U40" s="50">
        <f t="shared" si="135"/>
        <v>10</v>
      </c>
      <c r="V40" s="50">
        <f t="shared" ref="V40:AS40" si="136">U40+1</f>
        <v>11</v>
      </c>
      <c r="W40" s="50">
        <f t="shared" si="136"/>
        <v>12</v>
      </c>
      <c r="X40" s="50">
        <f t="shared" si="136"/>
        <v>13</v>
      </c>
      <c r="Y40" s="50">
        <f t="shared" si="136"/>
        <v>14</v>
      </c>
      <c r="Z40" s="50">
        <f t="shared" si="136"/>
        <v>15</v>
      </c>
      <c r="AA40" s="50">
        <f t="shared" si="136"/>
        <v>16</v>
      </c>
      <c r="AB40" s="50">
        <f t="shared" si="136"/>
        <v>17</v>
      </c>
      <c r="AC40" s="50">
        <f t="shared" si="136"/>
        <v>18</v>
      </c>
      <c r="AD40" s="50">
        <f t="shared" si="136"/>
        <v>19</v>
      </c>
      <c r="AE40" s="50">
        <f t="shared" si="136"/>
        <v>20</v>
      </c>
      <c r="AF40" s="50">
        <f t="shared" si="136"/>
        <v>21</v>
      </c>
      <c r="AG40" s="50">
        <f t="shared" si="136"/>
        <v>22</v>
      </c>
      <c r="AH40" s="50">
        <f t="shared" si="136"/>
        <v>23</v>
      </c>
      <c r="AI40" s="50">
        <f t="shared" si="136"/>
        <v>24</v>
      </c>
      <c r="AJ40" s="50">
        <f t="shared" si="136"/>
        <v>25</v>
      </c>
      <c r="AK40" s="50">
        <f t="shared" si="136"/>
        <v>26</v>
      </c>
      <c r="AL40" s="50">
        <f t="shared" si="136"/>
        <v>27</v>
      </c>
      <c r="AM40" s="50">
        <f t="shared" si="136"/>
        <v>28</v>
      </c>
      <c r="AN40" s="50">
        <f t="shared" si="136"/>
        <v>29</v>
      </c>
      <c r="AO40" s="50">
        <f t="shared" si="136"/>
        <v>30</v>
      </c>
      <c r="AP40" s="50">
        <f t="shared" si="136"/>
        <v>31</v>
      </c>
      <c r="AQ40" s="50">
        <f t="shared" si="136"/>
        <v>32</v>
      </c>
      <c r="AR40" s="50">
        <f t="shared" si="136"/>
        <v>33</v>
      </c>
      <c r="AS40" s="50">
        <f t="shared" si="136"/>
        <v>34</v>
      </c>
      <c r="AT40" s="46"/>
      <c r="BV40" s="53">
        <v>37</v>
      </c>
      <c r="BW40" s="54">
        <v>6.6500000000000004E-2</v>
      </c>
      <c r="BX40" s="54">
        <v>8.5699999999999998E-2</v>
      </c>
    </row>
    <row r="41" spans="2:76" x14ac:dyDescent="0.3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v>980149.19709100015</v>
      </c>
      <c r="AO41" s="21">
        <v>970054.08187700016</v>
      </c>
      <c r="AP41" s="21">
        <v>979488.86886799999</v>
      </c>
      <c r="AQ41" s="21">
        <v>988723.25222999998</v>
      </c>
      <c r="AR41" s="21">
        <v>991256.79032699997</v>
      </c>
      <c r="AS41" s="21">
        <f>SUM('Capa Final'!$G$37:$G$38)+SUM('Capa Final'!$G$46:$G$47)</f>
        <v>998267.7574560002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53">
        <v>38</v>
      </c>
      <c r="BW41" s="54">
        <v>6.6799999999999998E-2</v>
      </c>
      <c r="BX41" s="54">
        <v>8.6099999999999996E-2</v>
      </c>
    </row>
    <row r="42" spans="2:76" x14ac:dyDescent="0.3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v>17357.198555999999</v>
      </c>
      <c r="AO42" s="21">
        <v>8283.2330999999995</v>
      </c>
      <c r="AP42" s="21">
        <v>12785.551173</v>
      </c>
      <c r="AQ42" s="21">
        <v>8696.2554949999994</v>
      </c>
      <c r="AR42" s="21">
        <v>2134.9623759999999</v>
      </c>
      <c r="AS42" s="21">
        <f>'Capa Final'!$G$37+'Capa Final'!$G$46</f>
        <v>2712.038274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53">
        <v>39</v>
      </c>
      <c r="BW42" s="54">
        <v>6.7100000000000007E-2</v>
      </c>
      <c r="BX42" s="54">
        <v>8.6499999999999994E-2</v>
      </c>
    </row>
    <row r="43" spans="2:76" x14ac:dyDescent="0.3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37">X41/$B$8</f>
        <v>9.7024293011228838E-3</v>
      </c>
      <c r="Y43" s="47">
        <f t="shared" si="137"/>
        <v>1.0347815069760367E-2</v>
      </c>
      <c r="Z43" s="47">
        <f t="shared" si="137"/>
        <v>1.1230812110732988E-2</v>
      </c>
      <c r="AA43" s="47">
        <f t="shared" si="137"/>
        <v>1.2220127674318453E-2</v>
      </c>
      <c r="AB43" s="47">
        <f t="shared" si="137"/>
        <v>1.3375880519638474E-2</v>
      </c>
      <c r="AC43" s="47">
        <f t="shared" si="137"/>
        <v>1.4290675655574871E-2</v>
      </c>
      <c r="AD43" s="47">
        <f t="shared" ref="AD43:AE43" si="138">AD41/$B$8</f>
        <v>1.5933325125728513E-2</v>
      </c>
      <c r="AE43" s="47">
        <f t="shared" si="138"/>
        <v>1.6384067898909879E-2</v>
      </c>
      <c r="AF43" s="47">
        <f t="shared" ref="AF43:AG43" si="139">AF41/$B$8</f>
        <v>1.7218342686615096E-2</v>
      </c>
      <c r="AG43" s="47">
        <f t="shared" si="139"/>
        <v>1.734602124501422E-2</v>
      </c>
      <c r="AH43" s="47">
        <f t="shared" ref="AH43:AI43" si="140">AH41/$B$8</f>
        <v>1.7608171426692541E-2</v>
      </c>
      <c r="AI43" s="47">
        <f t="shared" si="140"/>
        <v>1.7918698483983763E-2</v>
      </c>
      <c r="AJ43" s="47">
        <f t="shared" ref="AJ43:AK43" si="141">AJ41/$B$8</f>
        <v>1.8531554466853745E-2</v>
      </c>
      <c r="AK43" s="47">
        <f t="shared" si="141"/>
        <v>1.9000185457426773E-2</v>
      </c>
      <c r="AL43" s="47">
        <f t="shared" ref="AL43:AM43" si="142">AL41/$B$8</f>
        <v>1.9335074838663372E-2</v>
      </c>
      <c r="AM43" s="47">
        <f t="shared" si="142"/>
        <v>2.0001719245998369E-2</v>
      </c>
      <c r="AN43" s="47">
        <f t="shared" ref="AN43:AO43" si="143">AN41/$B$8</f>
        <v>1.6727636565571444E-2</v>
      </c>
      <c r="AO43" s="47">
        <f t="shared" si="143"/>
        <v>1.6555349102715233E-2</v>
      </c>
      <c r="AP43" s="47">
        <f t="shared" ref="AP43:AQ43" si="144">AP41/$B$8</f>
        <v>1.6716367127652076E-2</v>
      </c>
      <c r="AQ43" s="47">
        <f t="shared" si="144"/>
        <v>1.6873964980351593E-2</v>
      </c>
      <c r="AR43" s="47">
        <f t="shared" ref="AR43:AS43" si="145">AR41/$B$8</f>
        <v>1.691720340225453E-2</v>
      </c>
      <c r="AS43" s="47">
        <f t="shared" si="145"/>
        <v>1.7036855502623689E-2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53">
        <v>40</v>
      </c>
      <c r="BW43" s="54">
        <v>6.7400000000000002E-2</v>
      </c>
      <c r="BX43" s="54">
        <v>8.6800000000000002E-2</v>
      </c>
    </row>
    <row r="44" spans="2:76" x14ac:dyDescent="0.3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46">IF(L43&gt;VLOOKUP(L40,$BV$3:$BX$75,2,0),"Gatilho atingido","Gatilho não atingido")</f>
        <v>Gatilho não atingido</v>
      </c>
      <c r="M44" s="47" t="str">
        <f t="shared" si="146"/>
        <v>Gatilho não atingido</v>
      </c>
      <c r="N44" s="47" t="str">
        <f t="shared" si="146"/>
        <v>Gatilho não atingido</v>
      </c>
      <c r="O44" s="47" t="str">
        <f t="shared" si="146"/>
        <v>Gatilho não atingido</v>
      </c>
      <c r="P44" s="47" t="str">
        <f t="shared" si="146"/>
        <v>Gatilho não atingido</v>
      </c>
      <c r="Q44" s="47" t="str">
        <f t="shared" si="146"/>
        <v>Gatilho não atingido</v>
      </c>
      <c r="R44" s="47" t="str">
        <f t="shared" si="146"/>
        <v>Gatilho não atingido</v>
      </c>
      <c r="S44" s="47" t="str">
        <f t="shared" si="146"/>
        <v>Gatilho não atingido</v>
      </c>
      <c r="T44" s="47" t="str">
        <f t="shared" si="146"/>
        <v>Gatilho não atingido</v>
      </c>
      <c r="U44" s="47" t="str">
        <f t="shared" si="146"/>
        <v>Gatilho não atingido</v>
      </c>
      <c r="V44" s="47" t="str">
        <f t="shared" si="146"/>
        <v>Gatilho não atingido</v>
      </c>
      <c r="W44" s="47" t="str">
        <f t="shared" si="146"/>
        <v>Gatilho não atingido</v>
      </c>
      <c r="X44" s="47" t="str">
        <f t="shared" si="146"/>
        <v>Gatilho não atingido</v>
      </c>
      <c r="Y44" s="47" t="str">
        <f t="shared" si="146"/>
        <v>Gatilho não atingido</v>
      </c>
      <c r="Z44" s="47" t="str">
        <f t="shared" si="146"/>
        <v>Gatilho não atingido</v>
      </c>
      <c r="AA44" s="47" t="str">
        <f t="shared" si="146"/>
        <v>Gatilho não atingido</v>
      </c>
      <c r="AB44" s="47" t="str">
        <f t="shared" si="146"/>
        <v>Gatilho não atingido</v>
      </c>
      <c r="AC44" s="47" t="str">
        <f t="shared" ref="AC44:AD44" si="147">IF(AC43&gt;VLOOKUP(AC40,$BV$3:$BX$75,2,0),"Gatilho atingido","Gatilho não atingido")</f>
        <v>Gatilho não atingido</v>
      </c>
      <c r="AD44" s="47" t="str">
        <f t="shared" si="147"/>
        <v>Gatilho não atingido</v>
      </c>
      <c r="AE44" s="47" t="str">
        <f t="shared" ref="AE44:AJ44" si="148">IF(AE43&gt;VLOOKUP(AE40,$BV$3:$BX$75,2,0),"Gatilho atingido","Gatilho não atingido")</f>
        <v>Gatilho não atingido</v>
      </c>
      <c r="AF44" s="47" t="str">
        <f t="shared" si="148"/>
        <v>Gatilho não atingido</v>
      </c>
      <c r="AG44" s="47" t="str">
        <f t="shared" si="148"/>
        <v>Gatilho não atingido</v>
      </c>
      <c r="AH44" s="47" t="str">
        <f t="shared" si="148"/>
        <v>Gatilho não atingido</v>
      </c>
      <c r="AI44" s="47" t="str">
        <f t="shared" si="148"/>
        <v>Gatilho não atingido</v>
      </c>
      <c r="AJ44" s="47" t="str">
        <f t="shared" si="148"/>
        <v>Gatilho não atingido</v>
      </c>
      <c r="AK44" s="47" t="str">
        <f t="shared" ref="AK44:AL44" si="149">IF(AK43&gt;VLOOKUP(AK40,$BV$3:$BX$75,2,0),"Gatilho atingido","Gatilho não atingido")</f>
        <v>Gatilho não atingido</v>
      </c>
      <c r="AL44" s="47" t="str">
        <f t="shared" si="149"/>
        <v>Gatilho não atingido</v>
      </c>
      <c r="AM44" s="47" t="str">
        <f t="shared" ref="AM44:AN44" si="150">IF(AM43&gt;VLOOKUP(AM40,$BV$3:$BX$75,2,0),"Gatilho atingido","Gatilho não atingido")</f>
        <v>Gatilho não atingido</v>
      </c>
      <c r="AN44" s="47" t="str">
        <f t="shared" si="150"/>
        <v>Gatilho não atingido</v>
      </c>
      <c r="AO44" s="47" t="str">
        <f t="shared" ref="AO44:AP44" si="151">IF(AO43&gt;VLOOKUP(AO40,$BV$3:$BX$75,2,0),"Gatilho atingido","Gatilho não atingido")</f>
        <v>Gatilho não atingido</v>
      </c>
      <c r="AP44" s="47" t="str">
        <f t="shared" si="151"/>
        <v>Gatilho não atingido</v>
      </c>
      <c r="AQ44" s="47" t="str">
        <f t="shared" ref="AQ44:AR44" si="152">IF(AQ43&gt;VLOOKUP(AQ40,$BV$3:$BX$75,2,0),"Gatilho atingido","Gatilho não atingido")</f>
        <v>Gatilho não atingido</v>
      </c>
      <c r="AR44" s="47" t="str">
        <f t="shared" si="152"/>
        <v>Gatilho não atingido</v>
      </c>
      <c r="AS44" s="47" t="str">
        <f t="shared" ref="AS44" si="153">IF(AS43&gt;VLOOKUP(AS40,$BV$3:$BX$75,2,0),"Gatilho atingido","Gatilho não atingido")</f>
        <v>Gatilho não atingido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53">
        <v>41</v>
      </c>
      <c r="BW44" s="54">
        <v>6.7699999999999996E-2</v>
      </c>
      <c r="BX44" s="54">
        <v>8.7099999999999997E-2</v>
      </c>
    </row>
    <row r="45" spans="2:76" x14ac:dyDescent="0.3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54">IF(L43&gt;VLOOKUP(L40,$BV$3:$BX$75,3,0),"Gatilho atingido","Gatilho não atingido")</f>
        <v>Gatilho não atingido</v>
      </c>
      <c r="M45" s="47" t="str">
        <f t="shared" si="154"/>
        <v>Gatilho não atingido</v>
      </c>
      <c r="N45" s="47" t="str">
        <f t="shared" si="154"/>
        <v>Gatilho não atingido</v>
      </c>
      <c r="O45" s="47" t="str">
        <f t="shared" si="154"/>
        <v>Gatilho não atingido</v>
      </c>
      <c r="P45" s="47" t="str">
        <f t="shared" si="154"/>
        <v>Gatilho não atingido</v>
      </c>
      <c r="Q45" s="47" t="str">
        <f t="shared" si="154"/>
        <v>Gatilho não atingido</v>
      </c>
      <c r="R45" s="47" t="str">
        <f t="shared" si="154"/>
        <v>Gatilho não atingido</v>
      </c>
      <c r="S45" s="47" t="str">
        <f t="shared" si="154"/>
        <v>Gatilho não atingido</v>
      </c>
      <c r="T45" s="47" t="str">
        <f t="shared" si="154"/>
        <v>Gatilho não atingido</v>
      </c>
      <c r="U45" s="47" t="str">
        <f t="shared" si="154"/>
        <v>Gatilho não atingido</v>
      </c>
      <c r="V45" s="47" t="str">
        <f t="shared" si="154"/>
        <v>Gatilho não atingido</v>
      </c>
      <c r="W45" s="47" t="str">
        <f t="shared" si="154"/>
        <v>Gatilho não atingido</v>
      </c>
      <c r="X45" s="47" t="str">
        <f t="shared" si="154"/>
        <v>Gatilho não atingido</v>
      </c>
      <c r="Y45" s="47" t="str">
        <f t="shared" si="154"/>
        <v>Gatilho não atingido</v>
      </c>
      <c r="Z45" s="47" t="str">
        <f t="shared" si="154"/>
        <v>Gatilho não atingido</v>
      </c>
      <c r="AA45" s="47" t="str">
        <f t="shared" si="154"/>
        <v>Gatilho não atingido</v>
      </c>
      <c r="AB45" s="47" t="str">
        <f t="shared" si="154"/>
        <v>Gatilho não atingido</v>
      </c>
      <c r="AC45" s="47" t="str">
        <f t="shared" ref="AC45:AD45" si="155">IF(AC43&gt;VLOOKUP(AC40,$BV$3:$BX$75,3,0),"Gatilho atingido","Gatilho não atingido")</f>
        <v>Gatilho não atingido</v>
      </c>
      <c r="AD45" s="47" t="str">
        <f t="shared" si="155"/>
        <v>Gatilho não atingido</v>
      </c>
      <c r="AE45" s="47" t="str">
        <f t="shared" ref="AE45:AJ45" si="156">IF(AE43&gt;VLOOKUP(AE40,$BV$3:$BX$75,3,0),"Gatilho atingido","Gatilho não atingido")</f>
        <v>Gatilho não atingido</v>
      </c>
      <c r="AF45" s="47" t="str">
        <f t="shared" si="156"/>
        <v>Gatilho não atingido</v>
      </c>
      <c r="AG45" s="47" t="str">
        <f t="shared" si="156"/>
        <v>Gatilho não atingido</v>
      </c>
      <c r="AH45" s="47" t="str">
        <f t="shared" si="156"/>
        <v>Gatilho não atingido</v>
      </c>
      <c r="AI45" s="47" t="str">
        <f t="shared" si="156"/>
        <v>Gatilho não atingido</v>
      </c>
      <c r="AJ45" s="47" t="str">
        <f t="shared" si="156"/>
        <v>Gatilho não atingido</v>
      </c>
      <c r="AK45" s="47" t="str">
        <f t="shared" ref="AK45:AL45" si="157">IF(AK43&gt;VLOOKUP(AK40,$BV$3:$BX$75,3,0),"Gatilho atingido","Gatilho não atingido")</f>
        <v>Gatilho não atingido</v>
      </c>
      <c r="AL45" s="47" t="str">
        <f t="shared" si="157"/>
        <v>Gatilho não atingido</v>
      </c>
      <c r="AM45" s="47" t="str">
        <f t="shared" ref="AM45:AN45" si="158">IF(AM43&gt;VLOOKUP(AM40,$BV$3:$BX$75,3,0),"Gatilho atingido","Gatilho não atingido")</f>
        <v>Gatilho não atingido</v>
      </c>
      <c r="AN45" s="47" t="str">
        <f t="shared" si="158"/>
        <v>Gatilho não atingido</v>
      </c>
      <c r="AO45" s="47" t="str">
        <f t="shared" ref="AO45:AP45" si="159">IF(AO43&gt;VLOOKUP(AO40,$BV$3:$BX$75,3,0),"Gatilho atingido","Gatilho não atingido")</f>
        <v>Gatilho não atingido</v>
      </c>
      <c r="AP45" s="47" t="str">
        <f t="shared" si="159"/>
        <v>Gatilho não atingido</v>
      </c>
      <c r="AQ45" s="47" t="str">
        <f t="shared" ref="AQ45:AR45" si="160">IF(AQ43&gt;VLOOKUP(AQ40,$BV$3:$BX$75,3,0),"Gatilho atingido","Gatilho não atingido")</f>
        <v>Gatilho não atingido</v>
      </c>
      <c r="AR45" s="47" t="str">
        <f t="shared" si="160"/>
        <v>Gatilho não atingido</v>
      </c>
      <c r="AS45" s="47" t="str">
        <f t="shared" ref="AS45" si="161">IF(AS43&gt;VLOOKUP(AS40,$BV$3:$BX$75,3,0),"Gatilho atingido","Gatilho não atingido")</f>
        <v>Gatilho não atingido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53">
        <v>42</v>
      </c>
      <c r="BW45" s="54">
        <v>6.7900000000000002E-2</v>
      </c>
      <c r="BX45" s="54">
        <v>8.7400000000000005E-2</v>
      </c>
    </row>
    <row r="46" spans="2:76" x14ac:dyDescent="0.3">
      <c r="B46" s="43"/>
      <c r="C46" s="78"/>
      <c r="D46" s="43"/>
      <c r="E46" s="44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53">
        <v>43</v>
      </c>
      <c r="BW46" s="54">
        <v>6.8099999999999994E-2</v>
      </c>
      <c r="BX46" s="54">
        <v>8.77E-2</v>
      </c>
    </row>
    <row r="47" spans="2:76" x14ac:dyDescent="0.3">
      <c r="F47" s="13"/>
      <c r="G47" s="98" t="s">
        <v>116</v>
      </c>
      <c r="H47" s="98"/>
      <c r="I47" s="98"/>
      <c r="J47" s="98"/>
      <c r="K47" s="98"/>
      <c r="L47" s="98"/>
      <c r="M47" s="98"/>
      <c r="N47" s="98"/>
      <c r="O47" s="98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53">
        <v>44</v>
      </c>
      <c r="BW47" s="54">
        <v>6.83E-2</v>
      </c>
      <c r="BX47" s="54">
        <v>8.7900000000000006E-2</v>
      </c>
    </row>
    <row r="48" spans="2:76" x14ac:dyDescent="0.3">
      <c r="F48" s="38" t="s">
        <v>126</v>
      </c>
      <c r="G48" s="39">
        <v>43770</v>
      </c>
      <c r="H48" s="39">
        <f t="shared" ref="H48:O48" si="162">EDATE(G48,1)</f>
        <v>43800</v>
      </c>
      <c r="I48" s="39">
        <f t="shared" si="162"/>
        <v>43831</v>
      </c>
      <c r="J48" s="39">
        <f t="shared" si="162"/>
        <v>43862</v>
      </c>
      <c r="K48" s="39">
        <f t="shared" si="162"/>
        <v>43891</v>
      </c>
      <c r="L48" s="39">
        <f t="shared" si="162"/>
        <v>43922</v>
      </c>
      <c r="M48" s="39">
        <f t="shared" si="162"/>
        <v>43952</v>
      </c>
      <c r="N48" s="39">
        <f t="shared" si="162"/>
        <v>43983</v>
      </c>
      <c r="O48" s="39">
        <f t="shared" si="162"/>
        <v>44013</v>
      </c>
      <c r="P48" s="39">
        <f t="shared" ref="P48:U48" si="163">EDATE(O48,1)</f>
        <v>44044</v>
      </c>
      <c r="Q48" s="39">
        <f t="shared" si="163"/>
        <v>44075</v>
      </c>
      <c r="R48" s="39">
        <f t="shared" si="163"/>
        <v>44105</v>
      </c>
      <c r="S48" s="39">
        <f t="shared" si="163"/>
        <v>44136</v>
      </c>
      <c r="T48" s="39">
        <f t="shared" si="163"/>
        <v>44166</v>
      </c>
      <c r="U48" s="39">
        <f t="shared" si="163"/>
        <v>44197</v>
      </c>
      <c r="V48" s="39">
        <f t="shared" ref="V48:AS48" si="164">EDATE(U48,1)</f>
        <v>44228</v>
      </c>
      <c r="W48" s="39">
        <f t="shared" si="164"/>
        <v>44256</v>
      </c>
      <c r="X48" s="39">
        <f t="shared" si="164"/>
        <v>44287</v>
      </c>
      <c r="Y48" s="39">
        <f t="shared" si="164"/>
        <v>44317</v>
      </c>
      <c r="Z48" s="39">
        <f t="shared" si="164"/>
        <v>44348</v>
      </c>
      <c r="AA48" s="39">
        <f t="shared" si="164"/>
        <v>44378</v>
      </c>
      <c r="AB48" s="39">
        <f t="shared" si="164"/>
        <v>44409</v>
      </c>
      <c r="AC48" s="39">
        <f t="shared" si="164"/>
        <v>44440</v>
      </c>
      <c r="AD48" s="39">
        <f t="shared" si="164"/>
        <v>44470</v>
      </c>
      <c r="AE48" s="39">
        <f t="shared" si="164"/>
        <v>44501</v>
      </c>
      <c r="AF48" s="39">
        <f t="shared" si="164"/>
        <v>44531</v>
      </c>
      <c r="AG48" s="39">
        <f t="shared" si="164"/>
        <v>44562</v>
      </c>
      <c r="AH48" s="39">
        <f t="shared" si="164"/>
        <v>44593</v>
      </c>
      <c r="AI48" s="39">
        <f t="shared" si="164"/>
        <v>44621</v>
      </c>
      <c r="AJ48" s="39">
        <f t="shared" si="164"/>
        <v>44652</v>
      </c>
      <c r="AK48" s="39">
        <f t="shared" si="164"/>
        <v>44682</v>
      </c>
      <c r="AL48" s="39">
        <f t="shared" si="164"/>
        <v>44713</v>
      </c>
      <c r="AM48" s="39">
        <f t="shared" si="164"/>
        <v>44743</v>
      </c>
      <c r="AN48" s="39">
        <f t="shared" si="164"/>
        <v>44774</v>
      </c>
      <c r="AO48" s="39">
        <f t="shared" si="164"/>
        <v>44805</v>
      </c>
      <c r="AP48" s="39">
        <f t="shared" si="164"/>
        <v>44835</v>
      </c>
      <c r="AQ48" s="39">
        <f t="shared" si="164"/>
        <v>44866</v>
      </c>
      <c r="AR48" s="39">
        <f t="shared" si="164"/>
        <v>44896</v>
      </c>
      <c r="AS48" s="39">
        <f t="shared" si="164"/>
        <v>44927</v>
      </c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53">
        <v>45</v>
      </c>
      <c r="BW48" s="54">
        <v>6.8500000000000005E-2</v>
      </c>
      <c r="BX48" s="54">
        <v>8.8200000000000001E-2</v>
      </c>
    </row>
    <row r="49" spans="2:76" x14ac:dyDescent="0.3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65">L49+1</f>
        <v>1</v>
      </c>
      <c r="N49" s="50">
        <f t="shared" si="165"/>
        <v>2</v>
      </c>
      <c r="O49" s="50">
        <f t="shared" si="165"/>
        <v>3</v>
      </c>
      <c r="P49" s="50">
        <f t="shared" ref="P49:U49" si="166">O49+1</f>
        <v>4</v>
      </c>
      <c r="Q49" s="50">
        <f t="shared" si="166"/>
        <v>5</v>
      </c>
      <c r="R49" s="50">
        <f t="shared" si="166"/>
        <v>6</v>
      </c>
      <c r="S49" s="50">
        <f t="shared" si="166"/>
        <v>7</v>
      </c>
      <c r="T49" s="50">
        <f t="shared" si="166"/>
        <v>8</v>
      </c>
      <c r="U49" s="50">
        <f t="shared" si="166"/>
        <v>9</v>
      </c>
      <c r="V49" s="50">
        <f t="shared" ref="V49:AS49" si="167">U49+1</f>
        <v>10</v>
      </c>
      <c r="W49" s="50">
        <f t="shared" si="167"/>
        <v>11</v>
      </c>
      <c r="X49" s="50">
        <f t="shared" si="167"/>
        <v>12</v>
      </c>
      <c r="Y49" s="50">
        <f t="shared" si="167"/>
        <v>13</v>
      </c>
      <c r="Z49" s="50">
        <f t="shared" si="167"/>
        <v>14</v>
      </c>
      <c r="AA49" s="50">
        <f t="shared" si="167"/>
        <v>15</v>
      </c>
      <c r="AB49" s="50">
        <f t="shared" si="167"/>
        <v>16</v>
      </c>
      <c r="AC49" s="50">
        <f t="shared" si="167"/>
        <v>17</v>
      </c>
      <c r="AD49" s="50">
        <f t="shared" si="167"/>
        <v>18</v>
      </c>
      <c r="AE49" s="50">
        <f t="shared" si="167"/>
        <v>19</v>
      </c>
      <c r="AF49" s="50">
        <f t="shared" si="167"/>
        <v>20</v>
      </c>
      <c r="AG49" s="50">
        <f t="shared" si="167"/>
        <v>21</v>
      </c>
      <c r="AH49" s="50">
        <f t="shared" si="167"/>
        <v>22</v>
      </c>
      <c r="AI49" s="50">
        <f t="shared" si="167"/>
        <v>23</v>
      </c>
      <c r="AJ49" s="50">
        <f t="shared" si="167"/>
        <v>24</v>
      </c>
      <c r="AK49" s="50">
        <f t="shared" si="167"/>
        <v>25</v>
      </c>
      <c r="AL49" s="50">
        <f t="shared" si="167"/>
        <v>26</v>
      </c>
      <c r="AM49" s="50">
        <f t="shared" si="167"/>
        <v>27</v>
      </c>
      <c r="AN49" s="50">
        <f t="shared" si="167"/>
        <v>28</v>
      </c>
      <c r="AO49" s="50">
        <f t="shared" si="167"/>
        <v>29</v>
      </c>
      <c r="AP49" s="50">
        <f t="shared" si="167"/>
        <v>30</v>
      </c>
      <c r="AQ49" s="50">
        <f t="shared" si="167"/>
        <v>31</v>
      </c>
      <c r="AR49" s="50">
        <f t="shared" si="167"/>
        <v>32</v>
      </c>
      <c r="AS49" s="50">
        <f t="shared" si="167"/>
        <v>33</v>
      </c>
      <c r="BV49" s="53">
        <v>46</v>
      </c>
      <c r="BW49" s="54">
        <v>6.8699999999999997E-2</v>
      </c>
      <c r="BX49" s="54">
        <v>8.8400000000000006E-2</v>
      </c>
    </row>
    <row r="50" spans="2:76" x14ac:dyDescent="0.3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v>969319.32448499999</v>
      </c>
      <c r="AO50" s="21">
        <v>965058.31450299989</v>
      </c>
      <c r="AP50" s="21">
        <v>954928.22302199993</v>
      </c>
      <c r="AQ50" s="21">
        <v>972724.05760199972</v>
      </c>
      <c r="AR50" s="21">
        <v>985824.77903299988</v>
      </c>
      <c r="AS50" s="21">
        <f>SUM('Capa Final'!$H$37:$H$38)+SUM('Capa Final'!$H$46:$H$47)</f>
        <v>1014419.1342739998</v>
      </c>
      <c r="AT50" s="46"/>
      <c r="BV50" s="53">
        <v>47</v>
      </c>
      <c r="BW50" s="54">
        <v>6.88E-2</v>
      </c>
      <c r="BX50" s="54">
        <v>8.8599999999999998E-2</v>
      </c>
    </row>
    <row r="51" spans="2:76" x14ac:dyDescent="0.3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v>46739.231528000004</v>
      </c>
      <c r="AO51" s="21">
        <v>12384.276544999999</v>
      </c>
      <c r="AP51" s="21">
        <v>7689.0754310000002</v>
      </c>
      <c r="AQ51" s="21">
        <v>16863.138763999999</v>
      </c>
      <c r="AR51" s="21">
        <v>12853.426962</v>
      </c>
      <c r="AS51" s="21">
        <f>'Capa Final'!$H$37+'Capa Final'!$H$46</f>
        <v>14656.092552</v>
      </c>
      <c r="AT51" s="46"/>
      <c r="BV51" s="53">
        <v>48</v>
      </c>
      <c r="BW51" s="54">
        <v>6.9000000000000006E-2</v>
      </c>
      <c r="BX51" s="54">
        <v>8.8800000000000004E-2</v>
      </c>
    </row>
    <row r="52" spans="2:76" x14ac:dyDescent="0.3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68">X50/$B$9</f>
        <v>1.0797297405294448E-2</v>
      </c>
      <c r="Y52" s="47">
        <f t="shared" si="168"/>
        <v>1.3099672787689599E-2</v>
      </c>
      <c r="Z52" s="47">
        <f t="shared" si="168"/>
        <v>1.5771537846292174E-2</v>
      </c>
      <c r="AA52" s="47">
        <f t="shared" si="168"/>
        <v>1.8826996479126078E-2</v>
      </c>
      <c r="AB52" s="47">
        <f t="shared" si="168"/>
        <v>2.0608314924580245E-2</v>
      </c>
      <c r="AC52" s="47">
        <f t="shared" si="168"/>
        <v>2.1624586834252935E-2</v>
      </c>
      <c r="AD52" s="47">
        <f t="shared" ref="AD52:AE52" si="169">AD50/$B$9</f>
        <v>2.3948625485955756E-2</v>
      </c>
      <c r="AE52" s="47">
        <f t="shared" si="169"/>
        <v>2.5210411850061305E-2</v>
      </c>
      <c r="AF52" s="47">
        <f t="shared" ref="AF52:AG52" si="170">AF50/$B$9</f>
        <v>2.7339182770744631E-2</v>
      </c>
      <c r="AG52" s="47">
        <f t="shared" si="170"/>
        <v>2.832885194980822E-2</v>
      </c>
      <c r="AH52" s="47">
        <f t="shared" ref="AH52:AI52" si="171">AH50/$B$9</f>
        <v>2.9410477944549249E-2</v>
      </c>
      <c r="AI52" s="47">
        <f t="shared" si="171"/>
        <v>2.9818434255467839E-2</v>
      </c>
      <c r="AJ52" s="47">
        <f t="shared" ref="AJ52:AK52" si="172">AJ50/$B$9</f>
        <v>2.9788750611880504E-2</v>
      </c>
      <c r="AK52" s="47">
        <f t="shared" si="172"/>
        <v>2.9456105314682846E-2</v>
      </c>
      <c r="AL52" s="47">
        <f t="shared" ref="AL52:AM52" si="173">AL50/$B$9</f>
        <v>2.9683522650237746E-2</v>
      </c>
      <c r="AM52" s="47">
        <f t="shared" si="173"/>
        <v>2.8773327212301109E-2</v>
      </c>
      <c r="AN52" s="47">
        <f t="shared" ref="AN52:AO52" si="174">AN50/$B$9</f>
        <v>2.7348389067019786E-2</v>
      </c>
      <c r="AO52" s="47">
        <f t="shared" si="174"/>
        <v>2.7228168871401476E-2</v>
      </c>
      <c r="AP52" s="47">
        <f t="shared" ref="AP52:AQ52" si="175">AP50/$B$9</f>
        <v>2.6942358327745927E-2</v>
      </c>
      <c r="AQ52" s="47">
        <f t="shared" si="175"/>
        <v>2.7444450255114376E-2</v>
      </c>
      <c r="AR52" s="47">
        <f t="shared" ref="AR52:AS52" si="176">AR50/$B$9</f>
        <v>2.7814074193999526E-2</v>
      </c>
      <c r="AS52" s="47">
        <f t="shared" si="176"/>
        <v>2.8620835735318147E-2</v>
      </c>
      <c r="AT52" s="46"/>
      <c r="BV52" s="53">
        <v>49</v>
      </c>
      <c r="BW52" s="54">
        <v>6.9099999999999995E-2</v>
      </c>
      <c r="BX52" s="54">
        <v>8.8900000000000007E-2</v>
      </c>
    </row>
    <row r="53" spans="2:76" x14ac:dyDescent="0.3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77">IF(M52&gt;VLOOKUP(M49,$BV$3:$BX$75,2,0),"Gatilho atingido","Gatilho não atingido")</f>
        <v>Gatilho não atingido</v>
      </c>
      <c r="N53" s="47" t="str">
        <f t="shared" si="177"/>
        <v>Gatilho não atingido</v>
      </c>
      <c r="O53" s="47" t="str">
        <f t="shared" si="177"/>
        <v>Gatilho não atingido</v>
      </c>
      <c r="P53" s="47" t="str">
        <f t="shared" si="177"/>
        <v>Gatilho não atingido</v>
      </c>
      <c r="Q53" s="47" t="str">
        <f t="shared" si="177"/>
        <v>Gatilho não atingido</v>
      </c>
      <c r="R53" s="47" t="str">
        <f t="shared" si="177"/>
        <v>Gatilho não atingido</v>
      </c>
      <c r="S53" s="47" t="str">
        <f t="shared" si="177"/>
        <v>Gatilho não atingido</v>
      </c>
      <c r="T53" s="47" t="str">
        <f t="shared" si="177"/>
        <v>Gatilho não atingido</v>
      </c>
      <c r="U53" s="47" t="str">
        <f t="shared" si="177"/>
        <v>Gatilho não atingido</v>
      </c>
      <c r="V53" s="47" t="str">
        <f t="shared" si="177"/>
        <v>Gatilho não atingido</v>
      </c>
      <c r="W53" s="47" t="str">
        <f t="shared" si="177"/>
        <v>Gatilho não atingido</v>
      </c>
      <c r="X53" s="47" t="str">
        <f t="shared" si="177"/>
        <v>Gatilho não atingido</v>
      </c>
      <c r="Y53" s="47" t="str">
        <f t="shared" si="177"/>
        <v>Gatilho não atingido</v>
      </c>
      <c r="Z53" s="47" t="str">
        <f t="shared" si="177"/>
        <v>Gatilho não atingido</v>
      </c>
      <c r="AA53" s="47" t="str">
        <f t="shared" si="177"/>
        <v>Gatilho não atingido</v>
      </c>
      <c r="AB53" s="47" t="str">
        <f t="shared" si="177"/>
        <v>Gatilho não atingido</v>
      </c>
      <c r="AC53" s="47" t="str">
        <f t="shared" ref="AC53:AD53" si="178">IF(AC52&gt;VLOOKUP(AC49,$BV$3:$BX$75,2,0),"Gatilho atingido","Gatilho não atingido")</f>
        <v>Gatilho não atingido</v>
      </c>
      <c r="AD53" s="47" t="str">
        <f t="shared" si="178"/>
        <v>Gatilho não atingido</v>
      </c>
      <c r="AE53" s="47" t="str">
        <f t="shared" ref="AE53:AJ53" si="179">IF(AE52&gt;VLOOKUP(AE49,$BV$3:$BX$75,2,0),"Gatilho atingido","Gatilho não atingido")</f>
        <v>Gatilho não atingido</v>
      </c>
      <c r="AF53" s="47" t="str">
        <f t="shared" si="179"/>
        <v>Gatilho não atingido</v>
      </c>
      <c r="AG53" s="47" t="str">
        <f t="shared" si="179"/>
        <v>Gatilho não atingido</v>
      </c>
      <c r="AH53" s="47" t="str">
        <f t="shared" si="179"/>
        <v>Gatilho não atingido</v>
      </c>
      <c r="AI53" s="47" t="str">
        <f t="shared" si="179"/>
        <v>Gatilho não atingido</v>
      </c>
      <c r="AJ53" s="47" t="str">
        <f t="shared" si="179"/>
        <v>Gatilho não atingido</v>
      </c>
      <c r="AK53" s="47" t="str">
        <f t="shared" ref="AK53:AL53" si="180">IF(AK52&gt;VLOOKUP(AK49,$BV$3:$BX$75,2,0),"Gatilho atingido","Gatilho não atingido")</f>
        <v>Gatilho não atingido</v>
      </c>
      <c r="AL53" s="47" t="str">
        <f t="shared" si="180"/>
        <v>Gatilho não atingido</v>
      </c>
      <c r="AM53" s="47" t="str">
        <f t="shared" ref="AM53:AN53" si="181">IF(AM52&gt;VLOOKUP(AM49,$BV$3:$BX$75,2,0),"Gatilho atingido","Gatilho não atingido")</f>
        <v>Gatilho não atingido</v>
      </c>
      <c r="AN53" s="47" t="str">
        <f t="shared" si="181"/>
        <v>Gatilho não atingido</v>
      </c>
      <c r="AO53" s="47" t="str">
        <f t="shared" ref="AO53:AP53" si="182">IF(AO52&gt;VLOOKUP(AO49,$BV$3:$BX$75,2,0),"Gatilho atingido","Gatilho não atingido")</f>
        <v>Gatilho não atingido</v>
      </c>
      <c r="AP53" s="47" t="str">
        <f t="shared" si="182"/>
        <v>Gatilho não atingido</v>
      </c>
      <c r="AQ53" s="47" t="str">
        <f t="shared" ref="AQ53:AR53" si="183">IF(AQ52&gt;VLOOKUP(AQ49,$BV$3:$BX$75,2,0),"Gatilho atingido","Gatilho não atingido")</f>
        <v>Gatilho não atingido</v>
      </c>
      <c r="AR53" s="47" t="str">
        <f t="shared" si="183"/>
        <v>Gatilho não atingido</v>
      </c>
      <c r="AS53" s="47" t="str">
        <f t="shared" ref="AS53" si="184">IF(AS52&gt;VLOOKUP(AS49,$BV$3:$BX$75,2,0),"Gatilho atingido","Gatilho não atingido")</f>
        <v>Gatilho não atingido</v>
      </c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53">
        <v>50</v>
      </c>
      <c r="BW53" s="54">
        <v>6.9199999999999998E-2</v>
      </c>
      <c r="BX53" s="54">
        <v>8.9099999999999999E-2</v>
      </c>
    </row>
    <row r="54" spans="2:76" x14ac:dyDescent="0.3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85">IF(M52&gt;VLOOKUP(M49,$BV$3:$BX$75,3,0),"Gatilho atingido","Gatilho não atingido")</f>
        <v>Gatilho não atingido</v>
      </c>
      <c r="N54" s="47" t="str">
        <f t="shared" si="185"/>
        <v>Gatilho não atingido</v>
      </c>
      <c r="O54" s="47" t="str">
        <f t="shared" si="185"/>
        <v>Gatilho não atingido</v>
      </c>
      <c r="P54" s="47" t="str">
        <f t="shared" si="185"/>
        <v>Gatilho não atingido</v>
      </c>
      <c r="Q54" s="47" t="str">
        <f t="shared" si="185"/>
        <v>Gatilho não atingido</v>
      </c>
      <c r="R54" s="47" t="str">
        <f t="shared" si="185"/>
        <v>Gatilho não atingido</v>
      </c>
      <c r="S54" s="47" t="str">
        <f t="shared" si="185"/>
        <v>Gatilho não atingido</v>
      </c>
      <c r="T54" s="47" t="str">
        <f t="shared" si="185"/>
        <v>Gatilho não atingido</v>
      </c>
      <c r="U54" s="47" t="str">
        <f t="shared" si="185"/>
        <v>Gatilho não atingido</v>
      </c>
      <c r="V54" s="47" t="str">
        <f t="shared" si="185"/>
        <v>Gatilho não atingido</v>
      </c>
      <c r="W54" s="47" t="str">
        <f t="shared" si="185"/>
        <v>Gatilho não atingido</v>
      </c>
      <c r="X54" s="47" t="str">
        <f t="shared" si="185"/>
        <v>Gatilho não atingido</v>
      </c>
      <c r="Y54" s="47" t="str">
        <f t="shared" si="185"/>
        <v>Gatilho não atingido</v>
      </c>
      <c r="Z54" s="47" t="str">
        <f t="shared" si="185"/>
        <v>Gatilho não atingido</v>
      </c>
      <c r="AA54" s="47" t="str">
        <f t="shared" si="185"/>
        <v>Gatilho não atingido</v>
      </c>
      <c r="AB54" s="47" t="str">
        <f t="shared" si="185"/>
        <v>Gatilho não atingido</v>
      </c>
      <c r="AC54" s="47" t="str">
        <f t="shared" ref="AC54:AD54" si="186">IF(AC52&gt;VLOOKUP(AC49,$BV$3:$BX$75,3,0),"Gatilho atingido","Gatilho não atingido")</f>
        <v>Gatilho não atingido</v>
      </c>
      <c r="AD54" s="47" t="str">
        <f t="shared" si="186"/>
        <v>Gatilho não atingido</v>
      </c>
      <c r="AE54" s="47" t="str">
        <f t="shared" ref="AE54:AJ54" si="187">IF(AE52&gt;VLOOKUP(AE49,$BV$3:$BX$75,3,0),"Gatilho atingido","Gatilho não atingido")</f>
        <v>Gatilho não atingido</v>
      </c>
      <c r="AF54" s="47" t="str">
        <f t="shared" si="187"/>
        <v>Gatilho não atingido</v>
      </c>
      <c r="AG54" s="47" t="str">
        <f t="shared" si="187"/>
        <v>Gatilho não atingido</v>
      </c>
      <c r="AH54" s="47" t="str">
        <f t="shared" si="187"/>
        <v>Gatilho não atingido</v>
      </c>
      <c r="AI54" s="47" t="str">
        <f t="shared" si="187"/>
        <v>Gatilho não atingido</v>
      </c>
      <c r="AJ54" s="47" t="str">
        <f t="shared" si="187"/>
        <v>Gatilho não atingido</v>
      </c>
      <c r="AK54" s="47" t="str">
        <f t="shared" ref="AK54:AL54" si="188">IF(AK52&gt;VLOOKUP(AK49,$BV$3:$BX$75,3,0),"Gatilho atingido","Gatilho não atingido")</f>
        <v>Gatilho não atingido</v>
      </c>
      <c r="AL54" s="47" t="str">
        <f t="shared" si="188"/>
        <v>Gatilho não atingido</v>
      </c>
      <c r="AM54" s="47" t="str">
        <f t="shared" ref="AM54:AN54" si="189">IF(AM52&gt;VLOOKUP(AM49,$BV$3:$BX$75,3,0),"Gatilho atingido","Gatilho não atingido")</f>
        <v>Gatilho não atingido</v>
      </c>
      <c r="AN54" s="47" t="str">
        <f t="shared" si="189"/>
        <v>Gatilho não atingido</v>
      </c>
      <c r="AO54" s="47" t="str">
        <f t="shared" ref="AO54:AP54" si="190">IF(AO52&gt;VLOOKUP(AO49,$BV$3:$BX$75,3,0),"Gatilho atingido","Gatilho não atingido")</f>
        <v>Gatilho não atingido</v>
      </c>
      <c r="AP54" s="47" t="str">
        <f t="shared" si="190"/>
        <v>Gatilho não atingido</v>
      </c>
      <c r="AQ54" s="47" t="str">
        <f t="shared" ref="AQ54:AR54" si="191">IF(AQ52&gt;VLOOKUP(AQ49,$BV$3:$BX$75,3,0),"Gatilho atingido","Gatilho não atingido")</f>
        <v>Gatilho não atingido</v>
      </c>
      <c r="AR54" s="47" t="str">
        <f t="shared" si="191"/>
        <v>Gatilho não atingido</v>
      </c>
      <c r="AS54" s="47" t="str">
        <f t="shared" ref="AS54" si="192">IF(AS52&gt;VLOOKUP(AS49,$BV$3:$BX$75,3,0),"Gatilho atingido","Gatilho não atingido")</f>
        <v>Gatilho não atingido</v>
      </c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53">
        <v>51</v>
      </c>
      <c r="BW54" s="54">
        <v>6.9400000000000003E-2</v>
      </c>
      <c r="BX54" s="54">
        <v>8.9200000000000002E-2</v>
      </c>
    </row>
    <row r="55" spans="2:76" x14ac:dyDescent="0.3"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53">
        <v>52</v>
      </c>
      <c r="BW55" s="54">
        <v>6.9500000000000006E-2</v>
      </c>
      <c r="BX55" s="54">
        <v>8.9399999999999993E-2</v>
      </c>
    </row>
    <row r="56" spans="2:76" x14ac:dyDescent="0.3">
      <c r="F56" s="13"/>
      <c r="G56" s="98" t="s">
        <v>116</v>
      </c>
      <c r="H56" s="98"/>
      <c r="I56" s="98"/>
      <c r="J56" s="98"/>
      <c r="K56" s="98"/>
      <c r="L56" s="98"/>
      <c r="M56" s="98"/>
      <c r="N56" s="98"/>
      <c r="O56" s="98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53">
        <v>53</v>
      </c>
      <c r="BW56" s="54">
        <v>6.9500000000000006E-2</v>
      </c>
      <c r="BX56" s="54">
        <v>8.9499999999999996E-2</v>
      </c>
    </row>
    <row r="57" spans="2:76" x14ac:dyDescent="0.3">
      <c r="F57" s="38" t="s">
        <v>127</v>
      </c>
      <c r="G57" s="39">
        <v>43770</v>
      </c>
      <c r="H57" s="39">
        <f t="shared" ref="H57:O57" si="193">EDATE(G57,1)</f>
        <v>43800</v>
      </c>
      <c r="I57" s="39">
        <f t="shared" si="193"/>
        <v>43831</v>
      </c>
      <c r="J57" s="39">
        <f t="shared" si="193"/>
        <v>43862</v>
      </c>
      <c r="K57" s="39">
        <f t="shared" si="193"/>
        <v>43891</v>
      </c>
      <c r="L57" s="39">
        <f t="shared" si="193"/>
        <v>43922</v>
      </c>
      <c r="M57" s="39">
        <f t="shared" si="193"/>
        <v>43952</v>
      </c>
      <c r="N57" s="39">
        <f t="shared" si="193"/>
        <v>43983</v>
      </c>
      <c r="O57" s="39">
        <f t="shared" si="193"/>
        <v>44013</v>
      </c>
      <c r="P57" s="39">
        <f t="shared" ref="P57:U57" si="194">EDATE(O57,1)</f>
        <v>44044</v>
      </c>
      <c r="Q57" s="39">
        <f t="shared" si="194"/>
        <v>44075</v>
      </c>
      <c r="R57" s="39">
        <f t="shared" si="194"/>
        <v>44105</v>
      </c>
      <c r="S57" s="39">
        <f t="shared" si="194"/>
        <v>44136</v>
      </c>
      <c r="T57" s="39">
        <f t="shared" si="194"/>
        <v>44166</v>
      </c>
      <c r="U57" s="39">
        <f t="shared" si="194"/>
        <v>44197</v>
      </c>
      <c r="V57" s="39">
        <f t="shared" ref="V57:AS57" si="195">EDATE(U57,1)</f>
        <v>44228</v>
      </c>
      <c r="W57" s="39">
        <f t="shared" si="195"/>
        <v>44256</v>
      </c>
      <c r="X57" s="39">
        <f t="shared" si="195"/>
        <v>44287</v>
      </c>
      <c r="Y57" s="39">
        <f t="shared" si="195"/>
        <v>44317</v>
      </c>
      <c r="Z57" s="39">
        <f t="shared" si="195"/>
        <v>44348</v>
      </c>
      <c r="AA57" s="39">
        <f t="shared" si="195"/>
        <v>44378</v>
      </c>
      <c r="AB57" s="39">
        <f t="shared" si="195"/>
        <v>44409</v>
      </c>
      <c r="AC57" s="39">
        <f t="shared" si="195"/>
        <v>44440</v>
      </c>
      <c r="AD57" s="39">
        <f t="shared" si="195"/>
        <v>44470</v>
      </c>
      <c r="AE57" s="39">
        <f t="shared" si="195"/>
        <v>44501</v>
      </c>
      <c r="AF57" s="39">
        <f t="shared" si="195"/>
        <v>44531</v>
      </c>
      <c r="AG57" s="39">
        <f t="shared" si="195"/>
        <v>44562</v>
      </c>
      <c r="AH57" s="39">
        <f t="shared" si="195"/>
        <v>44593</v>
      </c>
      <c r="AI57" s="39">
        <f t="shared" si="195"/>
        <v>44621</v>
      </c>
      <c r="AJ57" s="39">
        <f t="shared" si="195"/>
        <v>44652</v>
      </c>
      <c r="AK57" s="39">
        <f t="shared" si="195"/>
        <v>44682</v>
      </c>
      <c r="AL57" s="39">
        <f t="shared" si="195"/>
        <v>44713</v>
      </c>
      <c r="AM57" s="39">
        <f t="shared" si="195"/>
        <v>44743</v>
      </c>
      <c r="AN57" s="39">
        <f t="shared" si="195"/>
        <v>44774</v>
      </c>
      <c r="AO57" s="39">
        <f t="shared" si="195"/>
        <v>44805</v>
      </c>
      <c r="AP57" s="39">
        <f t="shared" si="195"/>
        <v>44835</v>
      </c>
      <c r="AQ57" s="39">
        <f t="shared" si="195"/>
        <v>44866</v>
      </c>
      <c r="AR57" s="39">
        <f t="shared" si="195"/>
        <v>44896</v>
      </c>
      <c r="AS57" s="39">
        <f t="shared" si="195"/>
        <v>44927</v>
      </c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53">
        <v>54</v>
      </c>
      <c r="BW57" s="54">
        <v>6.9599999999999995E-2</v>
      </c>
      <c r="BX57" s="54">
        <v>8.9599999999999999E-2</v>
      </c>
    </row>
    <row r="58" spans="2:76" x14ac:dyDescent="0.3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96">M58+1</f>
        <v>1</v>
      </c>
      <c r="O58" s="50">
        <f t="shared" si="196"/>
        <v>2</v>
      </c>
      <c r="P58" s="50">
        <f t="shared" ref="P58:U58" si="197">O58+1</f>
        <v>3</v>
      </c>
      <c r="Q58" s="50">
        <f t="shared" si="197"/>
        <v>4</v>
      </c>
      <c r="R58" s="50">
        <f t="shared" si="197"/>
        <v>5</v>
      </c>
      <c r="S58" s="50">
        <f t="shared" si="197"/>
        <v>6</v>
      </c>
      <c r="T58" s="50">
        <f t="shared" si="197"/>
        <v>7</v>
      </c>
      <c r="U58" s="50">
        <f t="shared" si="197"/>
        <v>8</v>
      </c>
      <c r="V58" s="50">
        <f t="shared" ref="V58:AS58" si="198">U58+1</f>
        <v>9</v>
      </c>
      <c r="W58" s="50">
        <f t="shared" si="198"/>
        <v>10</v>
      </c>
      <c r="X58" s="50">
        <f t="shared" si="198"/>
        <v>11</v>
      </c>
      <c r="Y58" s="50">
        <f t="shared" si="198"/>
        <v>12</v>
      </c>
      <c r="Z58" s="50">
        <f t="shared" si="198"/>
        <v>13</v>
      </c>
      <c r="AA58" s="50">
        <f t="shared" si="198"/>
        <v>14</v>
      </c>
      <c r="AB58" s="50">
        <f t="shared" si="198"/>
        <v>15</v>
      </c>
      <c r="AC58" s="50">
        <f t="shared" si="198"/>
        <v>16</v>
      </c>
      <c r="AD58" s="50">
        <f t="shared" si="198"/>
        <v>17</v>
      </c>
      <c r="AE58" s="50">
        <f t="shared" si="198"/>
        <v>18</v>
      </c>
      <c r="AF58" s="50">
        <f t="shared" si="198"/>
        <v>19</v>
      </c>
      <c r="AG58" s="50">
        <f t="shared" si="198"/>
        <v>20</v>
      </c>
      <c r="AH58" s="50">
        <f t="shared" si="198"/>
        <v>21</v>
      </c>
      <c r="AI58" s="50">
        <f t="shared" si="198"/>
        <v>22</v>
      </c>
      <c r="AJ58" s="50">
        <f t="shared" si="198"/>
        <v>23</v>
      </c>
      <c r="AK58" s="50">
        <f t="shared" si="198"/>
        <v>24</v>
      </c>
      <c r="AL58" s="50">
        <f t="shared" si="198"/>
        <v>25</v>
      </c>
      <c r="AM58" s="50">
        <f t="shared" si="198"/>
        <v>26</v>
      </c>
      <c r="AN58" s="50">
        <f t="shared" si="198"/>
        <v>27</v>
      </c>
      <c r="AO58" s="50">
        <f t="shared" si="198"/>
        <v>28</v>
      </c>
      <c r="AP58" s="50">
        <f t="shared" si="198"/>
        <v>29</v>
      </c>
      <c r="AQ58" s="50">
        <f t="shared" si="198"/>
        <v>30</v>
      </c>
      <c r="AR58" s="50">
        <f t="shared" si="198"/>
        <v>31</v>
      </c>
      <c r="AS58" s="50">
        <f t="shared" si="198"/>
        <v>32</v>
      </c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53">
        <v>55</v>
      </c>
      <c r="BW58" s="54">
        <v>6.9699999999999998E-2</v>
      </c>
      <c r="BX58" s="54">
        <v>8.9700000000000002E-2</v>
      </c>
    </row>
    <row r="59" spans="2:76" x14ac:dyDescent="0.3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v>2979567.2754679997</v>
      </c>
      <c r="AO59" s="21">
        <v>3013016.6478999997</v>
      </c>
      <c r="AP59" s="21">
        <v>3013899.6838489994</v>
      </c>
      <c r="AQ59" s="21">
        <v>3026868.1098100003</v>
      </c>
      <c r="AR59" s="21">
        <v>3024604.125142999</v>
      </c>
      <c r="AS59" s="21">
        <f>SUM('Capa Final'!$I$37:$I$38)+SUM('Capa Final'!$I$46:$I$47)</f>
        <v>3051426.5355209992</v>
      </c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53">
        <v>56</v>
      </c>
      <c r="BW59" s="54">
        <v>6.9800000000000001E-2</v>
      </c>
      <c r="BX59" s="54">
        <v>8.9700000000000002E-2</v>
      </c>
    </row>
    <row r="60" spans="2:76" x14ac:dyDescent="0.3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v>52291.498172999993</v>
      </c>
      <c r="AO60" s="21">
        <v>35882.581581999999</v>
      </c>
      <c r="AP60" s="21">
        <v>10236.460857</v>
      </c>
      <c r="AQ60" s="21">
        <v>14527.219846999998</v>
      </c>
      <c r="AR60" s="21">
        <v>25027.984453999998</v>
      </c>
      <c r="AS60" s="21">
        <f>'Capa Final'!$I$37+'Capa Final'!$I$46</f>
        <v>23623.692267999999</v>
      </c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53">
        <v>57</v>
      </c>
      <c r="BW60" s="54">
        <v>6.9800000000000001E-2</v>
      </c>
      <c r="BX60" s="54">
        <v>8.9800000000000005E-2</v>
      </c>
    </row>
    <row r="61" spans="2:76" x14ac:dyDescent="0.3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99">X59/$B$10</f>
        <v>1.3283058936760189E-2</v>
      </c>
      <c r="Y61" s="47">
        <f t="shared" si="199"/>
        <v>1.5779782404615396E-2</v>
      </c>
      <c r="Z61" s="47">
        <f t="shared" si="199"/>
        <v>1.688225653934913E-2</v>
      </c>
      <c r="AA61" s="47">
        <f t="shared" si="199"/>
        <v>1.8521223452221798E-2</v>
      </c>
      <c r="AB61" s="47">
        <f t="shared" si="199"/>
        <v>1.9572955857848975E-2</v>
      </c>
      <c r="AC61" s="47">
        <f t="shared" si="199"/>
        <v>2.0419938057670482E-2</v>
      </c>
      <c r="AD61" s="47">
        <f t="shared" ref="AD61:AE61" si="200">AD59/$B$10</f>
        <v>2.1666046157663321E-2</v>
      </c>
      <c r="AE61" s="47">
        <f t="shared" si="200"/>
        <v>2.2443924548085799E-2</v>
      </c>
      <c r="AF61" s="47">
        <f t="shared" ref="AF61:AG61" si="201">AF59/$B$10</f>
        <v>2.3441753855566076E-2</v>
      </c>
      <c r="AG61" s="47">
        <f t="shared" si="201"/>
        <v>2.391775989750029E-2</v>
      </c>
      <c r="AH61" s="47">
        <f t="shared" ref="AH61:AI61" si="202">AH59/$B$10</f>
        <v>2.4405843009451526E-2</v>
      </c>
      <c r="AI61" s="47">
        <f t="shared" si="202"/>
        <v>2.521354173091591E-2</v>
      </c>
      <c r="AJ61" s="47">
        <f t="shared" ref="AJ61:AK61" si="203">AJ59/$B$10</f>
        <v>2.5188338700193266E-2</v>
      </c>
      <c r="AK61" s="47">
        <f t="shared" si="203"/>
        <v>2.5294727105896139E-2</v>
      </c>
      <c r="AL61" s="47">
        <f t="shared" ref="AL61:AM61" si="204">AL59/$B$10</f>
        <v>2.5671998294754143E-2</v>
      </c>
      <c r="AM61" s="47">
        <f t="shared" si="204"/>
        <v>2.5948980940416859E-2</v>
      </c>
      <c r="AN61" s="47">
        <f t="shared" ref="AN61:AO61" si="205">AN59/$B$10</f>
        <v>2.5918298630755038E-2</v>
      </c>
      <c r="AO61" s="47">
        <f t="shared" si="205"/>
        <v>2.6209263976911805E-2</v>
      </c>
      <c r="AP61" s="47">
        <f t="shared" ref="AP61:AQ61" si="206">AP59/$B$10</f>
        <v>2.6216945222982773E-2</v>
      </c>
      <c r="AQ61" s="47">
        <f t="shared" si="206"/>
        <v>2.6329753394691284E-2</v>
      </c>
      <c r="AR61" s="47">
        <f t="shared" ref="AR61:AS61" si="207">AR59/$B$10</f>
        <v>2.6310059719311669E-2</v>
      </c>
      <c r="AS61" s="47">
        <f t="shared" si="207"/>
        <v>2.6543379251277758E-2</v>
      </c>
      <c r="BV61" s="53">
        <v>58</v>
      </c>
      <c r="BW61" s="54">
        <v>6.9900000000000004E-2</v>
      </c>
      <c r="BX61" s="54">
        <v>8.9899999999999994E-2</v>
      </c>
    </row>
    <row r="62" spans="2:76" x14ac:dyDescent="0.3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208">IF(N61&gt;VLOOKUP(N58,$BV$3:$BX$75,2,0),"Gatilho atingido","Gatilho não atingido")</f>
        <v>Gatilho não atingido</v>
      </c>
      <c r="O62" s="47" t="str">
        <f t="shared" si="208"/>
        <v>Gatilho não atingido</v>
      </c>
      <c r="P62" s="47" t="str">
        <f t="shared" si="208"/>
        <v>Gatilho não atingido</v>
      </c>
      <c r="Q62" s="47" t="str">
        <f t="shared" si="208"/>
        <v>Gatilho não atingido</v>
      </c>
      <c r="R62" s="47" t="str">
        <f t="shared" si="208"/>
        <v>Gatilho não atingido</v>
      </c>
      <c r="S62" s="47" t="str">
        <f t="shared" si="208"/>
        <v>Gatilho não atingido</v>
      </c>
      <c r="T62" s="47" t="str">
        <f t="shared" si="208"/>
        <v>Gatilho não atingido</v>
      </c>
      <c r="U62" s="47" t="str">
        <f t="shared" si="208"/>
        <v>Gatilho não atingido</v>
      </c>
      <c r="V62" s="47" t="str">
        <f t="shared" si="208"/>
        <v>Gatilho não atingido</v>
      </c>
      <c r="W62" s="47" t="str">
        <f t="shared" si="208"/>
        <v>Gatilho não atingido</v>
      </c>
      <c r="X62" s="47" t="str">
        <f t="shared" si="208"/>
        <v>Gatilho não atingido</v>
      </c>
      <c r="Y62" s="47" t="str">
        <f t="shared" si="208"/>
        <v>Gatilho não atingido</v>
      </c>
      <c r="Z62" s="47" t="str">
        <f t="shared" si="208"/>
        <v>Gatilho não atingido</v>
      </c>
      <c r="AA62" s="47" t="str">
        <f t="shared" si="208"/>
        <v>Gatilho não atingido</v>
      </c>
      <c r="AB62" s="47" t="str">
        <f t="shared" si="208"/>
        <v>Gatilho não atingido</v>
      </c>
      <c r="AC62" s="47" t="str">
        <f t="shared" ref="AC62:AD62" si="209">IF(AC61&gt;VLOOKUP(AC58,$BV$3:$BX$75,2,0),"Gatilho atingido","Gatilho não atingido")</f>
        <v>Gatilho não atingido</v>
      </c>
      <c r="AD62" s="47" t="str">
        <f t="shared" si="209"/>
        <v>Gatilho não atingido</v>
      </c>
      <c r="AE62" s="47" t="str">
        <f t="shared" ref="AE62:AJ62" si="210">IF(AE61&gt;VLOOKUP(AE58,$BV$3:$BX$75,2,0),"Gatilho atingido","Gatilho não atingido")</f>
        <v>Gatilho não atingido</v>
      </c>
      <c r="AF62" s="47" t="str">
        <f t="shared" si="210"/>
        <v>Gatilho não atingido</v>
      </c>
      <c r="AG62" s="47" t="str">
        <f t="shared" si="210"/>
        <v>Gatilho não atingido</v>
      </c>
      <c r="AH62" s="47" t="str">
        <f t="shared" si="210"/>
        <v>Gatilho não atingido</v>
      </c>
      <c r="AI62" s="47" t="str">
        <f t="shared" si="210"/>
        <v>Gatilho não atingido</v>
      </c>
      <c r="AJ62" s="47" t="str">
        <f t="shared" si="210"/>
        <v>Gatilho não atingido</v>
      </c>
      <c r="AK62" s="47" t="str">
        <f t="shared" ref="AK62:AL62" si="211">IF(AK61&gt;VLOOKUP(AK58,$BV$3:$BX$75,2,0),"Gatilho atingido","Gatilho não atingido")</f>
        <v>Gatilho não atingido</v>
      </c>
      <c r="AL62" s="47" t="str">
        <f t="shared" si="211"/>
        <v>Gatilho não atingido</v>
      </c>
      <c r="AM62" s="47" t="str">
        <f t="shared" ref="AM62:AN62" si="212">IF(AM61&gt;VLOOKUP(AM58,$BV$3:$BX$75,2,0),"Gatilho atingido","Gatilho não atingido")</f>
        <v>Gatilho não atingido</v>
      </c>
      <c r="AN62" s="47" t="str">
        <f t="shared" si="212"/>
        <v>Gatilho não atingido</v>
      </c>
      <c r="AO62" s="47" t="str">
        <f t="shared" ref="AO62:AP62" si="213">IF(AO61&gt;VLOOKUP(AO58,$BV$3:$BX$75,2,0),"Gatilho atingido","Gatilho não atingido")</f>
        <v>Gatilho não atingido</v>
      </c>
      <c r="AP62" s="47" t="str">
        <f t="shared" si="213"/>
        <v>Gatilho não atingido</v>
      </c>
      <c r="AQ62" s="47" t="str">
        <f t="shared" ref="AQ62:AR62" si="214">IF(AQ61&gt;VLOOKUP(AQ58,$BV$3:$BX$75,2,0),"Gatilho atingido","Gatilho não atingido")</f>
        <v>Gatilho não atingido</v>
      </c>
      <c r="AR62" s="47" t="str">
        <f t="shared" si="214"/>
        <v>Gatilho não atingido</v>
      </c>
      <c r="AS62" s="47" t="str">
        <f t="shared" ref="AS62" si="215">IF(AS61&gt;VLOOKUP(AS58,$BV$3:$BX$75,2,0),"Gatilho atingido","Gatilho não atingido")</f>
        <v>Gatilho não atingido</v>
      </c>
      <c r="BV62" s="53">
        <v>59</v>
      </c>
      <c r="BW62" s="54">
        <v>6.9900000000000004E-2</v>
      </c>
      <c r="BX62" s="54">
        <v>8.9899999999999994E-2</v>
      </c>
    </row>
    <row r="63" spans="2:76" x14ac:dyDescent="0.3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216">IF(N61&gt;VLOOKUP(N58,$BV$3:$BX$75,3,0),"Gatilho atingido","Gatilho não atingido")</f>
        <v>Gatilho não atingido</v>
      </c>
      <c r="O63" s="47" t="str">
        <f t="shared" si="216"/>
        <v>Gatilho não atingido</v>
      </c>
      <c r="P63" s="47" t="str">
        <f t="shared" si="216"/>
        <v>Gatilho não atingido</v>
      </c>
      <c r="Q63" s="47" t="str">
        <f t="shared" si="216"/>
        <v>Gatilho não atingido</v>
      </c>
      <c r="R63" s="47" t="str">
        <f t="shared" si="216"/>
        <v>Gatilho não atingido</v>
      </c>
      <c r="S63" s="47" t="str">
        <f t="shared" si="216"/>
        <v>Gatilho não atingido</v>
      </c>
      <c r="T63" s="47" t="str">
        <f t="shared" si="216"/>
        <v>Gatilho não atingido</v>
      </c>
      <c r="U63" s="47" t="str">
        <f t="shared" si="216"/>
        <v>Gatilho não atingido</v>
      </c>
      <c r="V63" s="47" t="str">
        <f t="shared" si="216"/>
        <v>Gatilho não atingido</v>
      </c>
      <c r="W63" s="47" t="str">
        <f t="shared" si="216"/>
        <v>Gatilho não atingido</v>
      </c>
      <c r="X63" s="47" t="str">
        <f t="shared" si="216"/>
        <v>Gatilho não atingido</v>
      </c>
      <c r="Y63" s="47" t="str">
        <f t="shared" si="216"/>
        <v>Gatilho não atingido</v>
      </c>
      <c r="Z63" s="47" t="str">
        <f t="shared" si="216"/>
        <v>Gatilho não atingido</v>
      </c>
      <c r="AA63" s="47" t="str">
        <f t="shared" si="216"/>
        <v>Gatilho não atingido</v>
      </c>
      <c r="AB63" s="47" t="str">
        <f t="shared" si="216"/>
        <v>Gatilho não atingido</v>
      </c>
      <c r="AC63" s="47" t="str">
        <f t="shared" ref="AC63:AD63" si="217">IF(AC61&gt;VLOOKUP(AC58,$BV$3:$BX$75,3,0),"Gatilho atingido","Gatilho não atingido")</f>
        <v>Gatilho não atingido</v>
      </c>
      <c r="AD63" s="47" t="str">
        <f t="shared" si="217"/>
        <v>Gatilho não atingido</v>
      </c>
      <c r="AE63" s="47" t="str">
        <f t="shared" ref="AE63:AJ63" si="218">IF(AE61&gt;VLOOKUP(AE58,$BV$3:$BX$75,3,0),"Gatilho atingido","Gatilho não atingido")</f>
        <v>Gatilho não atingido</v>
      </c>
      <c r="AF63" s="47" t="str">
        <f t="shared" si="218"/>
        <v>Gatilho não atingido</v>
      </c>
      <c r="AG63" s="47" t="str">
        <f t="shared" si="218"/>
        <v>Gatilho não atingido</v>
      </c>
      <c r="AH63" s="47" t="str">
        <f t="shared" si="218"/>
        <v>Gatilho não atingido</v>
      </c>
      <c r="AI63" s="47" t="str">
        <f t="shared" si="218"/>
        <v>Gatilho não atingido</v>
      </c>
      <c r="AJ63" s="47" t="str">
        <f t="shared" si="218"/>
        <v>Gatilho não atingido</v>
      </c>
      <c r="AK63" s="47" t="str">
        <f t="shared" ref="AK63:AL63" si="219">IF(AK61&gt;VLOOKUP(AK58,$BV$3:$BX$75,3,0),"Gatilho atingido","Gatilho não atingido")</f>
        <v>Gatilho não atingido</v>
      </c>
      <c r="AL63" s="47" t="str">
        <f t="shared" si="219"/>
        <v>Gatilho não atingido</v>
      </c>
      <c r="AM63" s="47" t="str">
        <f t="shared" ref="AM63:AN63" si="220">IF(AM61&gt;VLOOKUP(AM58,$BV$3:$BX$75,3,0),"Gatilho atingido","Gatilho não atingido")</f>
        <v>Gatilho não atingido</v>
      </c>
      <c r="AN63" s="47" t="str">
        <f t="shared" si="220"/>
        <v>Gatilho não atingido</v>
      </c>
      <c r="AO63" s="47" t="str">
        <f t="shared" ref="AO63:AP63" si="221">IF(AO61&gt;VLOOKUP(AO58,$BV$3:$BX$75,3,0),"Gatilho atingido","Gatilho não atingido")</f>
        <v>Gatilho não atingido</v>
      </c>
      <c r="AP63" s="47" t="str">
        <f t="shared" si="221"/>
        <v>Gatilho não atingido</v>
      </c>
      <c r="AQ63" s="47" t="str">
        <f t="shared" ref="AQ63:AR63" si="222">IF(AQ61&gt;VLOOKUP(AQ58,$BV$3:$BX$75,3,0),"Gatilho atingido","Gatilho não atingido")</f>
        <v>Gatilho não atingido</v>
      </c>
      <c r="AR63" s="47" t="str">
        <f t="shared" si="222"/>
        <v>Gatilho não atingido</v>
      </c>
      <c r="AS63" s="47" t="str">
        <f t="shared" ref="AS63" si="223">IF(AS61&gt;VLOOKUP(AS58,$BV$3:$BX$75,3,0),"Gatilho atingido","Gatilho não atingido")</f>
        <v>Gatilho não atingido</v>
      </c>
      <c r="BV63" s="53">
        <v>60</v>
      </c>
      <c r="BW63" s="54">
        <v>6.9900000000000004E-2</v>
      </c>
      <c r="BX63" s="54">
        <v>0.09</v>
      </c>
    </row>
    <row r="64" spans="2:76" x14ac:dyDescent="0.3">
      <c r="AT64" s="46"/>
      <c r="BV64" s="53">
        <v>61</v>
      </c>
      <c r="BW64" s="54">
        <v>7.0000000000000007E-2</v>
      </c>
      <c r="BX64" s="54">
        <v>0.09</v>
      </c>
    </row>
    <row r="65" spans="2:76" x14ac:dyDescent="0.3">
      <c r="F65" s="13"/>
      <c r="G65" s="98" t="s">
        <v>116</v>
      </c>
      <c r="H65" s="98"/>
      <c r="I65" s="98"/>
      <c r="J65" s="98"/>
      <c r="K65" s="98"/>
      <c r="L65" s="98"/>
      <c r="M65" s="98"/>
      <c r="N65" s="98"/>
      <c r="O65" s="98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53">
        <v>62</v>
      </c>
      <c r="BW65" s="54">
        <v>7.0000000000000007E-2</v>
      </c>
      <c r="BX65" s="54">
        <v>0.09</v>
      </c>
    </row>
    <row r="66" spans="2:76" x14ac:dyDescent="0.3">
      <c r="F66" s="38" t="s">
        <v>128</v>
      </c>
      <c r="G66" s="39">
        <v>43770</v>
      </c>
      <c r="H66" s="39">
        <f t="shared" ref="H66:O66" si="224">EDATE(G66,1)</f>
        <v>43800</v>
      </c>
      <c r="I66" s="39">
        <f t="shared" si="224"/>
        <v>43831</v>
      </c>
      <c r="J66" s="39">
        <f t="shared" si="224"/>
        <v>43862</v>
      </c>
      <c r="K66" s="39">
        <f t="shared" si="224"/>
        <v>43891</v>
      </c>
      <c r="L66" s="39">
        <f t="shared" si="224"/>
        <v>43922</v>
      </c>
      <c r="M66" s="39">
        <f t="shared" si="224"/>
        <v>43952</v>
      </c>
      <c r="N66" s="39">
        <f t="shared" si="224"/>
        <v>43983</v>
      </c>
      <c r="O66" s="39">
        <f t="shared" si="224"/>
        <v>44013</v>
      </c>
      <c r="P66" s="39">
        <f t="shared" ref="P66:U66" si="225">EDATE(O66,1)</f>
        <v>44044</v>
      </c>
      <c r="Q66" s="39">
        <f t="shared" si="225"/>
        <v>44075</v>
      </c>
      <c r="R66" s="39">
        <f t="shared" si="225"/>
        <v>44105</v>
      </c>
      <c r="S66" s="39">
        <f t="shared" si="225"/>
        <v>44136</v>
      </c>
      <c r="T66" s="39">
        <f t="shared" si="225"/>
        <v>44166</v>
      </c>
      <c r="U66" s="39">
        <f t="shared" si="225"/>
        <v>44197</v>
      </c>
      <c r="V66" s="39">
        <f t="shared" ref="V66:AS66" si="226">EDATE(U66,1)</f>
        <v>44228</v>
      </c>
      <c r="W66" s="39">
        <f t="shared" si="226"/>
        <v>44256</v>
      </c>
      <c r="X66" s="39">
        <f t="shared" si="226"/>
        <v>44287</v>
      </c>
      <c r="Y66" s="39">
        <f t="shared" si="226"/>
        <v>44317</v>
      </c>
      <c r="Z66" s="39">
        <f t="shared" si="226"/>
        <v>44348</v>
      </c>
      <c r="AA66" s="39">
        <f t="shared" si="226"/>
        <v>44378</v>
      </c>
      <c r="AB66" s="39">
        <f t="shared" si="226"/>
        <v>44409</v>
      </c>
      <c r="AC66" s="39">
        <f t="shared" si="226"/>
        <v>44440</v>
      </c>
      <c r="AD66" s="39">
        <f t="shared" si="226"/>
        <v>44470</v>
      </c>
      <c r="AE66" s="39">
        <f t="shared" si="226"/>
        <v>44501</v>
      </c>
      <c r="AF66" s="39">
        <f t="shared" si="226"/>
        <v>44531</v>
      </c>
      <c r="AG66" s="39">
        <f t="shared" si="226"/>
        <v>44562</v>
      </c>
      <c r="AH66" s="39">
        <f t="shared" si="226"/>
        <v>44593</v>
      </c>
      <c r="AI66" s="39">
        <f t="shared" si="226"/>
        <v>44621</v>
      </c>
      <c r="AJ66" s="39">
        <f t="shared" si="226"/>
        <v>44652</v>
      </c>
      <c r="AK66" s="39">
        <f t="shared" si="226"/>
        <v>44682</v>
      </c>
      <c r="AL66" s="39">
        <f t="shared" si="226"/>
        <v>44713</v>
      </c>
      <c r="AM66" s="39">
        <f t="shared" si="226"/>
        <v>44743</v>
      </c>
      <c r="AN66" s="39">
        <f t="shared" si="226"/>
        <v>44774</v>
      </c>
      <c r="AO66" s="39">
        <f t="shared" si="226"/>
        <v>44805</v>
      </c>
      <c r="AP66" s="39">
        <f t="shared" si="226"/>
        <v>44835</v>
      </c>
      <c r="AQ66" s="39">
        <f t="shared" si="226"/>
        <v>44866</v>
      </c>
      <c r="AR66" s="39">
        <f t="shared" si="226"/>
        <v>44896</v>
      </c>
      <c r="AS66" s="39">
        <f t="shared" si="226"/>
        <v>44927</v>
      </c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53">
        <v>63</v>
      </c>
      <c r="BW66" s="54">
        <v>7.0000000000000007E-2</v>
      </c>
      <c r="BX66" s="54">
        <v>0.09</v>
      </c>
    </row>
    <row r="67" spans="2:76" x14ac:dyDescent="0.3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227">N67+1</f>
        <v>1</v>
      </c>
      <c r="P67" s="50">
        <f t="shared" ref="P67:U67" si="228">O67+1</f>
        <v>2</v>
      </c>
      <c r="Q67" s="50">
        <f t="shared" si="228"/>
        <v>3</v>
      </c>
      <c r="R67" s="50">
        <f t="shared" si="228"/>
        <v>4</v>
      </c>
      <c r="S67" s="50">
        <f t="shared" si="228"/>
        <v>5</v>
      </c>
      <c r="T67" s="50">
        <f t="shared" si="228"/>
        <v>6</v>
      </c>
      <c r="U67" s="50">
        <f t="shared" si="228"/>
        <v>7</v>
      </c>
      <c r="V67" s="50">
        <f t="shared" ref="V67:AS67" si="229">U67+1</f>
        <v>8</v>
      </c>
      <c r="W67" s="50">
        <f t="shared" si="229"/>
        <v>9</v>
      </c>
      <c r="X67" s="50">
        <f t="shared" si="229"/>
        <v>10</v>
      </c>
      <c r="Y67" s="50">
        <f t="shared" si="229"/>
        <v>11</v>
      </c>
      <c r="Z67" s="50">
        <f t="shared" si="229"/>
        <v>12</v>
      </c>
      <c r="AA67" s="50">
        <f t="shared" si="229"/>
        <v>13</v>
      </c>
      <c r="AB67" s="50">
        <f t="shared" si="229"/>
        <v>14</v>
      </c>
      <c r="AC67" s="50">
        <f t="shared" si="229"/>
        <v>15</v>
      </c>
      <c r="AD67" s="50">
        <f t="shared" si="229"/>
        <v>16</v>
      </c>
      <c r="AE67" s="50">
        <f t="shared" si="229"/>
        <v>17</v>
      </c>
      <c r="AF67" s="50">
        <f t="shared" si="229"/>
        <v>18</v>
      </c>
      <c r="AG67" s="50">
        <f t="shared" si="229"/>
        <v>19</v>
      </c>
      <c r="AH67" s="50">
        <f t="shared" si="229"/>
        <v>20</v>
      </c>
      <c r="AI67" s="50">
        <f t="shared" si="229"/>
        <v>21</v>
      </c>
      <c r="AJ67" s="50">
        <f t="shared" si="229"/>
        <v>22</v>
      </c>
      <c r="AK67" s="50">
        <f t="shared" si="229"/>
        <v>23</v>
      </c>
      <c r="AL67" s="50">
        <f t="shared" si="229"/>
        <v>24</v>
      </c>
      <c r="AM67" s="50">
        <f t="shared" si="229"/>
        <v>25</v>
      </c>
      <c r="AN67" s="50">
        <f t="shared" si="229"/>
        <v>26</v>
      </c>
      <c r="AO67" s="50">
        <f t="shared" si="229"/>
        <v>27</v>
      </c>
      <c r="AP67" s="50">
        <f t="shared" si="229"/>
        <v>28</v>
      </c>
      <c r="AQ67" s="50">
        <f t="shared" si="229"/>
        <v>29</v>
      </c>
      <c r="AR67" s="50">
        <f t="shared" si="229"/>
        <v>30</v>
      </c>
      <c r="AS67" s="50">
        <f t="shared" si="229"/>
        <v>31</v>
      </c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53">
        <v>64</v>
      </c>
      <c r="BW67" s="54">
        <v>7.0000000000000007E-2</v>
      </c>
      <c r="BX67" s="54">
        <v>0.09</v>
      </c>
    </row>
    <row r="68" spans="2:76" x14ac:dyDescent="0.3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1244829.8136999996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v>2249187.6871129991</v>
      </c>
      <c r="AO68" s="21">
        <v>2284431.7897179993</v>
      </c>
      <c r="AP68" s="21">
        <v>2285882.7346699997</v>
      </c>
      <c r="AQ68" s="21">
        <v>2313370.8489809996</v>
      </c>
      <c r="AR68" s="21">
        <v>2407226.890732999</v>
      </c>
      <c r="AS68" s="21">
        <f>SUM('Capa Final'!$J$37:$J$38)+SUM('Capa Final'!$J$46:$J$47)</f>
        <v>2458237.434193999</v>
      </c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53">
        <v>65</v>
      </c>
      <c r="BW68" s="54">
        <v>7.0000000000000007E-2</v>
      </c>
      <c r="BX68" s="54">
        <v>0.09</v>
      </c>
    </row>
    <row r="69" spans="2:76" x14ac:dyDescent="0.3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74036.243988000002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v>54440.120867999998</v>
      </c>
      <c r="AO69" s="21">
        <v>68877.349963999994</v>
      </c>
      <c r="AP69" s="21">
        <v>35160.460623999999</v>
      </c>
      <c r="AQ69" s="21">
        <v>57776.410173000011</v>
      </c>
      <c r="AR69" s="21">
        <v>124051.28571199998</v>
      </c>
      <c r="AS69" s="21">
        <f>'Capa Final'!$J$37+'Capa Final'!$J$46</f>
        <v>77678.841471000007</v>
      </c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53">
        <v>66</v>
      </c>
      <c r="BW69" s="54">
        <v>7.0000000000000007E-2</v>
      </c>
      <c r="BX69" s="54">
        <v>0.09</v>
      </c>
    </row>
    <row r="70" spans="2:76" x14ac:dyDescent="0.3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1.6079673948066368E-2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230">X68/$B$11</f>
        <v>1.2106343969443463E-2</v>
      </c>
      <c r="Y70" s="47">
        <f t="shared" si="230"/>
        <v>1.4221351996241112E-2</v>
      </c>
      <c r="Z70" s="47">
        <f t="shared" si="230"/>
        <v>1.5956690810638111E-2</v>
      </c>
      <c r="AA70" s="47">
        <f t="shared" si="230"/>
        <v>1.8533366241679301E-2</v>
      </c>
      <c r="AB70" s="47">
        <f t="shared" si="230"/>
        <v>1.9384718211309777E-2</v>
      </c>
      <c r="AC70" s="47">
        <f t="shared" si="230"/>
        <v>2.0506198408671523E-2</v>
      </c>
      <c r="AD70" s="47">
        <f t="shared" ref="AD70:AE70" si="231">AD68/$B$11</f>
        <v>2.2317099249799265E-2</v>
      </c>
      <c r="AE70" s="47">
        <f t="shared" si="231"/>
        <v>2.4979913205675448E-2</v>
      </c>
      <c r="AF70" s="47">
        <f t="shared" ref="AF70:AG70" si="232">AF68/$B$11</f>
        <v>2.6041804295250961E-2</v>
      </c>
      <c r="AG70" s="47">
        <f t="shared" si="232"/>
        <v>2.7176319003726621E-2</v>
      </c>
      <c r="AH70" s="47">
        <f t="shared" ref="AH70:AI70" si="233">AH68/$B$11</f>
        <v>2.7238234818218403E-2</v>
      </c>
      <c r="AI70" s="47">
        <f t="shared" si="233"/>
        <v>2.8018031755638762E-2</v>
      </c>
      <c r="AJ70" s="47">
        <f t="shared" ref="AJ70:AK70" si="234">AJ68/$B$11</f>
        <v>2.8366458280435252E-2</v>
      </c>
      <c r="AK70" s="47">
        <f t="shared" si="234"/>
        <v>2.8778359820004894E-2</v>
      </c>
      <c r="AL70" s="47">
        <f t="shared" ref="AL70:AM70" si="235">AL68/$B$11</f>
        <v>2.959299854667909E-2</v>
      </c>
      <c r="AM70" s="47">
        <f t="shared" si="235"/>
        <v>2.9847401882461797E-2</v>
      </c>
      <c r="AN70" s="47">
        <f t="shared" ref="AN70:AO70" si="236">AN68/$B$11</f>
        <v>2.905313180866545E-2</v>
      </c>
      <c r="AO70" s="47">
        <f t="shared" si="236"/>
        <v>2.9508385749600682E-2</v>
      </c>
      <c r="AP70" s="47">
        <f t="shared" ref="AP70:AQ70" si="237">AP68/$B$11</f>
        <v>2.9527127847105091E-2</v>
      </c>
      <c r="AQ70" s="47">
        <f t="shared" si="237"/>
        <v>2.9882196395997169E-2</v>
      </c>
      <c r="AR70" s="47">
        <f t="shared" ref="AR70:AS70" si="238">AR68/$B$11</f>
        <v>3.109455051285636E-2</v>
      </c>
      <c r="AS70" s="47">
        <f t="shared" si="238"/>
        <v>3.1753462195191935E-2</v>
      </c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53">
        <v>67</v>
      </c>
      <c r="BW70" s="54">
        <v>7.0000000000000007E-2</v>
      </c>
      <c r="BX70" s="54">
        <v>0.09</v>
      </c>
    </row>
    <row r="71" spans="2:76" x14ac:dyDescent="0.3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239">IF(O70&gt;VLOOKUP(O67,$BV$3:$BX$75,2,0),"Gatilho atingido","Gatilho não atingido")</f>
        <v>Gatilho não atingido</v>
      </c>
      <c r="P71" s="47" t="str">
        <f t="shared" si="239"/>
        <v>Gatilho não atingido</v>
      </c>
      <c r="Q71" s="47" t="str">
        <f t="shared" si="239"/>
        <v>Gatilho não atingido</v>
      </c>
      <c r="R71" s="47" t="str">
        <f t="shared" si="239"/>
        <v>Gatilho não atingido</v>
      </c>
      <c r="S71" s="47" t="str">
        <f t="shared" si="239"/>
        <v>Gatilho não atingido</v>
      </c>
      <c r="T71" s="47" t="str">
        <f t="shared" si="239"/>
        <v>Gatilho não atingido</v>
      </c>
      <c r="U71" s="47" t="str">
        <f t="shared" si="239"/>
        <v>Gatilho não atingido</v>
      </c>
      <c r="V71" s="47" t="str">
        <f t="shared" si="239"/>
        <v>Gatilho não atingido</v>
      </c>
      <c r="W71" s="47" t="str">
        <f t="shared" si="239"/>
        <v>Gatilho não atingido</v>
      </c>
      <c r="X71" s="47" t="str">
        <f t="shared" si="239"/>
        <v>Gatilho não atingido</v>
      </c>
      <c r="Y71" s="47" t="str">
        <f t="shared" si="239"/>
        <v>Gatilho não atingido</v>
      </c>
      <c r="Z71" s="47" t="str">
        <f t="shared" si="239"/>
        <v>Gatilho não atingido</v>
      </c>
      <c r="AA71" s="47" t="str">
        <f t="shared" si="239"/>
        <v>Gatilho não atingido</v>
      </c>
      <c r="AB71" s="47" t="str">
        <f t="shared" si="239"/>
        <v>Gatilho não atingido</v>
      </c>
      <c r="AC71" s="47" t="str">
        <f t="shared" ref="AC71:AD71" si="240">IF(AC70&gt;VLOOKUP(AC67,$BV$3:$BX$75,2,0),"Gatilho atingido","Gatilho não atingido")</f>
        <v>Gatilho não atingido</v>
      </c>
      <c r="AD71" s="47" t="str">
        <f t="shared" si="240"/>
        <v>Gatilho não atingido</v>
      </c>
      <c r="AE71" s="47" t="str">
        <f t="shared" ref="AE71:AJ71" si="241">IF(AE70&gt;VLOOKUP(AE67,$BV$3:$BX$75,2,0),"Gatilho atingido","Gatilho não atingido")</f>
        <v>Gatilho não atingido</v>
      </c>
      <c r="AF71" s="47" t="str">
        <f t="shared" si="241"/>
        <v>Gatilho não atingido</v>
      </c>
      <c r="AG71" s="47" t="str">
        <f t="shared" si="241"/>
        <v>Gatilho não atingido</v>
      </c>
      <c r="AH71" s="47" t="str">
        <f t="shared" si="241"/>
        <v>Gatilho não atingido</v>
      </c>
      <c r="AI71" s="47" t="str">
        <f t="shared" si="241"/>
        <v>Gatilho não atingido</v>
      </c>
      <c r="AJ71" s="47" t="str">
        <f t="shared" si="241"/>
        <v>Gatilho não atingido</v>
      </c>
      <c r="AK71" s="47" t="str">
        <f t="shared" ref="AK71:AL71" si="242">IF(AK70&gt;VLOOKUP(AK67,$BV$3:$BX$75,2,0),"Gatilho atingido","Gatilho não atingido")</f>
        <v>Gatilho não atingido</v>
      </c>
      <c r="AL71" s="47" t="str">
        <f t="shared" si="242"/>
        <v>Gatilho não atingido</v>
      </c>
      <c r="AM71" s="47" t="str">
        <f t="shared" ref="AM71:AN71" si="243">IF(AM70&gt;VLOOKUP(AM67,$BV$3:$BX$75,2,0),"Gatilho atingido","Gatilho não atingido")</f>
        <v>Gatilho não atingido</v>
      </c>
      <c r="AN71" s="47" t="str">
        <f t="shared" si="243"/>
        <v>Gatilho não atingido</v>
      </c>
      <c r="AO71" s="47" t="str">
        <f t="shared" ref="AO71:AP71" si="244">IF(AO70&gt;VLOOKUP(AO67,$BV$3:$BX$75,2,0),"Gatilho atingido","Gatilho não atingido")</f>
        <v>Gatilho não atingido</v>
      </c>
      <c r="AP71" s="47" t="str">
        <f t="shared" si="244"/>
        <v>Gatilho não atingido</v>
      </c>
      <c r="AQ71" s="47" t="str">
        <f t="shared" ref="AQ71:AR71" si="245">IF(AQ70&gt;VLOOKUP(AQ67,$BV$3:$BX$75,2,0),"Gatilho atingido","Gatilho não atingido")</f>
        <v>Gatilho não atingido</v>
      </c>
      <c r="AR71" s="47" t="str">
        <f t="shared" si="245"/>
        <v>Gatilho não atingido</v>
      </c>
      <c r="AS71" s="47" t="str">
        <f t="shared" ref="AS71" si="246">IF(AS70&gt;VLOOKUP(AS67,$BV$3:$BX$75,2,0),"Gatilho atingido","Gatilho não atingido")</f>
        <v>Gatilho não atingido</v>
      </c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53">
        <v>68</v>
      </c>
      <c r="BW71" s="54">
        <v>7.0000000000000007E-2</v>
      </c>
      <c r="BX71" s="54">
        <v>0.09</v>
      </c>
    </row>
    <row r="72" spans="2:76" x14ac:dyDescent="0.3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247">IF(O70&gt;VLOOKUP(O67,$BV$3:$BX$75,3,0),"Gatilho atingido","Gatilho não atingido")</f>
        <v>Gatilho não atingido</v>
      </c>
      <c r="P72" s="47" t="str">
        <f t="shared" si="247"/>
        <v>Gatilho não atingido</v>
      </c>
      <c r="Q72" s="47" t="str">
        <f t="shared" si="247"/>
        <v>Gatilho não atingido</v>
      </c>
      <c r="R72" s="47" t="str">
        <f t="shared" si="247"/>
        <v>Gatilho não atingido</v>
      </c>
      <c r="S72" s="47" t="str">
        <f t="shared" si="247"/>
        <v>Gatilho não atingido</v>
      </c>
      <c r="T72" s="47" t="str">
        <f t="shared" si="247"/>
        <v>Gatilho não atingido</v>
      </c>
      <c r="U72" s="47" t="str">
        <f t="shared" si="247"/>
        <v>Gatilho não atingido</v>
      </c>
      <c r="V72" s="47" t="str">
        <f t="shared" si="247"/>
        <v>Gatilho não atingido</v>
      </c>
      <c r="W72" s="47" t="str">
        <f t="shared" si="247"/>
        <v>Gatilho não atingido</v>
      </c>
      <c r="X72" s="47" t="str">
        <f t="shared" si="247"/>
        <v>Gatilho não atingido</v>
      </c>
      <c r="Y72" s="47" t="str">
        <f t="shared" si="247"/>
        <v>Gatilho não atingido</v>
      </c>
      <c r="Z72" s="47" t="str">
        <f t="shared" si="247"/>
        <v>Gatilho não atingido</v>
      </c>
      <c r="AA72" s="47" t="str">
        <f t="shared" si="247"/>
        <v>Gatilho não atingido</v>
      </c>
      <c r="AB72" s="47" t="str">
        <f t="shared" si="247"/>
        <v>Gatilho não atingido</v>
      </c>
      <c r="AC72" s="47" t="str">
        <f t="shared" ref="AC72:AD72" si="248">IF(AC70&gt;VLOOKUP(AC67,$BV$3:$BX$75,3,0),"Gatilho atingido","Gatilho não atingido")</f>
        <v>Gatilho não atingido</v>
      </c>
      <c r="AD72" s="47" t="str">
        <f t="shared" si="248"/>
        <v>Gatilho não atingido</v>
      </c>
      <c r="AE72" s="47" t="str">
        <f t="shared" ref="AE72:AJ72" si="249">IF(AE70&gt;VLOOKUP(AE67,$BV$3:$BX$75,3,0),"Gatilho atingido","Gatilho não atingido")</f>
        <v>Gatilho não atingido</v>
      </c>
      <c r="AF72" s="47" t="str">
        <f t="shared" si="249"/>
        <v>Gatilho não atingido</v>
      </c>
      <c r="AG72" s="47" t="str">
        <f t="shared" si="249"/>
        <v>Gatilho não atingido</v>
      </c>
      <c r="AH72" s="47" t="str">
        <f t="shared" si="249"/>
        <v>Gatilho não atingido</v>
      </c>
      <c r="AI72" s="47" t="str">
        <f t="shared" si="249"/>
        <v>Gatilho não atingido</v>
      </c>
      <c r="AJ72" s="47" t="str">
        <f t="shared" si="249"/>
        <v>Gatilho não atingido</v>
      </c>
      <c r="AK72" s="47" t="str">
        <f t="shared" ref="AK72:AL72" si="250">IF(AK70&gt;VLOOKUP(AK67,$BV$3:$BX$75,3,0),"Gatilho atingido","Gatilho não atingido")</f>
        <v>Gatilho não atingido</v>
      </c>
      <c r="AL72" s="47" t="str">
        <f t="shared" si="250"/>
        <v>Gatilho não atingido</v>
      </c>
      <c r="AM72" s="47" t="str">
        <f t="shared" ref="AM72:AN72" si="251">IF(AM70&gt;VLOOKUP(AM67,$BV$3:$BX$75,3,0),"Gatilho atingido","Gatilho não atingido")</f>
        <v>Gatilho não atingido</v>
      </c>
      <c r="AN72" s="47" t="str">
        <f t="shared" si="251"/>
        <v>Gatilho não atingido</v>
      </c>
      <c r="AO72" s="47" t="str">
        <f t="shared" ref="AO72:AP72" si="252">IF(AO70&gt;VLOOKUP(AO67,$BV$3:$BX$75,3,0),"Gatilho atingido","Gatilho não atingido")</f>
        <v>Gatilho não atingido</v>
      </c>
      <c r="AP72" s="47" t="str">
        <f t="shared" si="252"/>
        <v>Gatilho não atingido</v>
      </c>
      <c r="AQ72" s="47" t="str">
        <f t="shared" ref="AQ72:AR72" si="253">IF(AQ70&gt;VLOOKUP(AQ67,$BV$3:$BX$75,3,0),"Gatilho atingido","Gatilho não atingido")</f>
        <v>Gatilho não atingido</v>
      </c>
      <c r="AR72" s="47" t="str">
        <f t="shared" si="253"/>
        <v>Gatilho não atingido</v>
      </c>
      <c r="AS72" s="47" t="str">
        <f t="shared" ref="AS72" si="254">IF(AS70&gt;VLOOKUP(AS67,$BV$3:$BX$75,3,0),"Gatilho atingido","Gatilho não atingido")</f>
        <v>Gatilho não atingido</v>
      </c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53">
        <v>69</v>
      </c>
      <c r="BW72" s="54">
        <v>7.0000000000000007E-2</v>
      </c>
      <c r="BX72" s="54">
        <v>0.09</v>
      </c>
    </row>
    <row r="73" spans="2:76" x14ac:dyDescent="0.3">
      <c r="BV73" s="53">
        <v>70</v>
      </c>
      <c r="BW73" s="54">
        <v>7.0000000000000007E-2</v>
      </c>
      <c r="BX73" s="54">
        <v>0.09</v>
      </c>
    </row>
    <row r="74" spans="2:76" x14ac:dyDescent="0.3">
      <c r="F74" s="13"/>
      <c r="G74" s="98" t="s">
        <v>116</v>
      </c>
      <c r="H74" s="98"/>
      <c r="I74" s="98"/>
      <c r="J74" s="98"/>
      <c r="K74" s="98"/>
      <c r="L74" s="98"/>
      <c r="M74" s="98"/>
      <c r="N74" s="98"/>
      <c r="O74" s="98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BV74" s="53">
        <v>71</v>
      </c>
      <c r="BW74" s="54">
        <v>7.0000000000000007E-2</v>
      </c>
      <c r="BX74" s="54">
        <v>0.09</v>
      </c>
    </row>
    <row r="75" spans="2:76" x14ac:dyDescent="0.3">
      <c r="F75" s="38" t="s">
        <v>141</v>
      </c>
      <c r="G75" s="39">
        <v>43770</v>
      </c>
      <c r="H75" s="39">
        <f t="shared" ref="H75" si="255">EDATE(G75,1)</f>
        <v>43800</v>
      </c>
      <c r="I75" s="39">
        <f t="shared" ref="I75" si="256">EDATE(H75,1)</f>
        <v>43831</v>
      </c>
      <c r="J75" s="39">
        <f t="shared" ref="J75" si="257">EDATE(I75,1)</f>
        <v>43862</v>
      </c>
      <c r="K75" s="39">
        <f t="shared" ref="K75" si="258">EDATE(J75,1)</f>
        <v>43891</v>
      </c>
      <c r="L75" s="39">
        <f t="shared" ref="L75" si="259">EDATE(K75,1)</f>
        <v>43922</v>
      </c>
      <c r="M75" s="39">
        <f t="shared" ref="M75" si="260">EDATE(L75,1)</f>
        <v>43952</v>
      </c>
      <c r="N75" s="39">
        <f t="shared" ref="N75" si="261">EDATE(M75,1)</f>
        <v>43983</v>
      </c>
      <c r="O75" s="39">
        <f t="shared" ref="O75" si="262">EDATE(N75,1)</f>
        <v>44013</v>
      </c>
      <c r="P75" s="39">
        <f t="shared" ref="P75:U75" si="263">EDATE(O75,1)</f>
        <v>44044</v>
      </c>
      <c r="Q75" s="39">
        <f t="shared" si="263"/>
        <v>44075</v>
      </c>
      <c r="R75" s="39">
        <f t="shared" si="263"/>
        <v>44105</v>
      </c>
      <c r="S75" s="39">
        <f t="shared" si="263"/>
        <v>44136</v>
      </c>
      <c r="T75" s="39">
        <f t="shared" si="263"/>
        <v>44166</v>
      </c>
      <c r="U75" s="39">
        <f t="shared" si="263"/>
        <v>44197</v>
      </c>
      <c r="V75" s="39">
        <f t="shared" ref="V75:AS75" si="264">EDATE(U75,1)</f>
        <v>44228</v>
      </c>
      <c r="W75" s="39">
        <f t="shared" si="264"/>
        <v>44256</v>
      </c>
      <c r="X75" s="39">
        <f t="shared" si="264"/>
        <v>44287</v>
      </c>
      <c r="Y75" s="39">
        <f t="shared" si="264"/>
        <v>44317</v>
      </c>
      <c r="Z75" s="39">
        <f t="shared" si="264"/>
        <v>44348</v>
      </c>
      <c r="AA75" s="39">
        <f t="shared" si="264"/>
        <v>44378</v>
      </c>
      <c r="AB75" s="39">
        <f t="shared" si="264"/>
        <v>44409</v>
      </c>
      <c r="AC75" s="39">
        <f t="shared" si="264"/>
        <v>44440</v>
      </c>
      <c r="AD75" s="39">
        <f t="shared" si="264"/>
        <v>44470</v>
      </c>
      <c r="AE75" s="39">
        <f t="shared" si="264"/>
        <v>44501</v>
      </c>
      <c r="AF75" s="39">
        <f t="shared" si="264"/>
        <v>44531</v>
      </c>
      <c r="AG75" s="39">
        <f t="shared" si="264"/>
        <v>44562</v>
      </c>
      <c r="AH75" s="39">
        <f t="shared" si="264"/>
        <v>44593</v>
      </c>
      <c r="AI75" s="39">
        <f t="shared" si="264"/>
        <v>44621</v>
      </c>
      <c r="AJ75" s="39">
        <f t="shared" si="264"/>
        <v>44652</v>
      </c>
      <c r="AK75" s="39">
        <f t="shared" si="264"/>
        <v>44682</v>
      </c>
      <c r="AL75" s="39">
        <f t="shared" si="264"/>
        <v>44713</v>
      </c>
      <c r="AM75" s="39">
        <f t="shared" si="264"/>
        <v>44743</v>
      </c>
      <c r="AN75" s="39">
        <f t="shared" si="264"/>
        <v>44774</v>
      </c>
      <c r="AO75" s="39">
        <f t="shared" si="264"/>
        <v>44805</v>
      </c>
      <c r="AP75" s="39">
        <f t="shared" si="264"/>
        <v>44835</v>
      </c>
      <c r="AQ75" s="39">
        <f t="shared" si="264"/>
        <v>44866</v>
      </c>
      <c r="AR75" s="39">
        <f t="shared" si="264"/>
        <v>44896</v>
      </c>
      <c r="AS75" s="39">
        <f t="shared" si="264"/>
        <v>44927</v>
      </c>
      <c r="BV75" s="53" t="s">
        <v>137</v>
      </c>
      <c r="BW75" s="54">
        <v>7.0000000000000007E-2</v>
      </c>
      <c r="BX75" s="54">
        <v>0.09</v>
      </c>
    </row>
    <row r="76" spans="2:76" x14ac:dyDescent="0.3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65">N76+1</f>
        <v>1</v>
      </c>
      <c r="P76" s="50">
        <f t="shared" ref="P76:U76" si="266">O76+1</f>
        <v>2</v>
      </c>
      <c r="Q76" s="50">
        <f t="shared" si="266"/>
        <v>3</v>
      </c>
      <c r="R76" s="50">
        <f t="shared" si="266"/>
        <v>4</v>
      </c>
      <c r="S76" s="50">
        <f t="shared" si="266"/>
        <v>5</v>
      </c>
      <c r="T76" s="50">
        <f t="shared" si="266"/>
        <v>6</v>
      </c>
      <c r="U76" s="50">
        <f t="shared" si="266"/>
        <v>7</v>
      </c>
      <c r="V76" s="50">
        <f t="shared" ref="V76:AS76" si="267">U76+1</f>
        <v>8</v>
      </c>
      <c r="W76" s="50">
        <f t="shared" si="267"/>
        <v>9</v>
      </c>
      <c r="X76" s="50">
        <f t="shared" si="267"/>
        <v>10</v>
      </c>
      <c r="Y76" s="50">
        <f t="shared" si="267"/>
        <v>11</v>
      </c>
      <c r="Z76" s="50">
        <f t="shared" si="267"/>
        <v>12</v>
      </c>
      <c r="AA76" s="50">
        <f t="shared" si="267"/>
        <v>13</v>
      </c>
      <c r="AB76" s="50">
        <f t="shared" si="267"/>
        <v>14</v>
      </c>
      <c r="AC76" s="50">
        <f t="shared" si="267"/>
        <v>15</v>
      </c>
      <c r="AD76" s="50">
        <f t="shared" si="267"/>
        <v>16</v>
      </c>
      <c r="AE76" s="50">
        <f t="shared" si="267"/>
        <v>17</v>
      </c>
      <c r="AF76" s="50">
        <f t="shared" si="267"/>
        <v>18</v>
      </c>
      <c r="AG76" s="50">
        <f t="shared" si="267"/>
        <v>19</v>
      </c>
      <c r="AH76" s="50">
        <f t="shared" si="267"/>
        <v>20</v>
      </c>
      <c r="AI76" s="50">
        <f t="shared" si="267"/>
        <v>21</v>
      </c>
      <c r="AJ76" s="50">
        <f t="shared" si="267"/>
        <v>22</v>
      </c>
      <c r="AK76" s="50">
        <f t="shared" si="267"/>
        <v>23</v>
      </c>
      <c r="AL76" s="50">
        <f t="shared" si="267"/>
        <v>24</v>
      </c>
      <c r="AM76" s="50">
        <f t="shared" si="267"/>
        <v>25</v>
      </c>
      <c r="AN76" s="50">
        <f t="shared" si="267"/>
        <v>26</v>
      </c>
      <c r="AO76" s="50">
        <f t="shared" si="267"/>
        <v>27</v>
      </c>
      <c r="AP76" s="50">
        <f t="shared" si="267"/>
        <v>28</v>
      </c>
      <c r="AQ76" s="50">
        <f t="shared" si="267"/>
        <v>29</v>
      </c>
      <c r="AR76" s="50">
        <f t="shared" si="267"/>
        <v>30</v>
      </c>
      <c r="AS76" s="50">
        <f t="shared" si="267"/>
        <v>31</v>
      </c>
      <c r="AT76" s="46"/>
      <c r="BV76" s="53"/>
      <c r="BW76" s="54"/>
      <c r="BX76" s="54"/>
    </row>
    <row r="77" spans="2:76" x14ac:dyDescent="0.3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v>3829957.6706640003</v>
      </c>
      <c r="AO77" s="21">
        <v>3924874.8349089995</v>
      </c>
      <c r="AP77" s="21">
        <v>3903323.6536869989</v>
      </c>
      <c r="AQ77" s="21">
        <v>3976712.7844430003</v>
      </c>
      <c r="AR77" s="21">
        <v>4085215.5401939992</v>
      </c>
      <c r="AS77" s="21">
        <f>SUM('Capa Final'!$K$37:$K$38)+SUM('Capa Final'!$K$46:$K$47)</f>
        <v>4162375.9347119979</v>
      </c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</row>
    <row r="78" spans="2:76" x14ac:dyDescent="0.3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v>40237.001879999996</v>
      </c>
      <c r="AO78" s="21">
        <v>103604.377049</v>
      </c>
      <c r="AP78" s="21">
        <v>7302.7463060000009</v>
      </c>
      <c r="AQ78" s="21">
        <v>62843.166712999999</v>
      </c>
      <c r="AR78" s="21">
        <v>107326.71150400002</v>
      </c>
      <c r="AS78" s="21">
        <f>'Capa Final'!$K$37+'Capa Final'!$K$46</f>
        <v>75858.978610999999</v>
      </c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</row>
    <row r="79" spans="2:76" x14ac:dyDescent="0.3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68">X77/$B$12</f>
        <v>1.2389181064955365E-2</v>
      </c>
      <c r="Y79" s="47">
        <f t="shared" si="268"/>
        <v>1.470929476006951E-2</v>
      </c>
      <c r="Z79" s="47">
        <f t="shared" si="268"/>
        <v>1.554693216422696E-2</v>
      </c>
      <c r="AA79" s="47">
        <f t="shared" si="268"/>
        <v>1.7690054666275056E-2</v>
      </c>
      <c r="AB79" s="47">
        <f t="shared" si="268"/>
        <v>1.9466831196878608E-2</v>
      </c>
      <c r="AC79" s="47">
        <f t="shared" si="268"/>
        <v>2.1528146454272486E-2</v>
      </c>
      <c r="AD79" s="47">
        <f t="shared" ref="AD79:AE79" si="269">AD77/$B$12</f>
        <v>2.4189610866447338E-2</v>
      </c>
      <c r="AE79" s="47">
        <f t="shared" si="269"/>
        <v>2.527632771935974E-2</v>
      </c>
      <c r="AF79" s="47">
        <f t="shared" ref="AF79:AG79" si="270">AF77/$B$12</f>
        <v>2.6419897940026936E-2</v>
      </c>
      <c r="AG79" s="47">
        <f t="shared" si="270"/>
        <v>2.6464964304770782E-2</v>
      </c>
      <c r="AH79" s="47">
        <f t="shared" ref="AH79:AI79" si="271">AH77/$B$12</f>
        <v>2.7303943666350059E-2</v>
      </c>
      <c r="AI79" s="47">
        <f t="shared" si="271"/>
        <v>2.7885619347793714E-2</v>
      </c>
      <c r="AJ79" s="47">
        <f t="shared" ref="AJ79:AK79" si="272">AJ77/$B$12</f>
        <v>2.831215597765694E-2</v>
      </c>
      <c r="AK79" s="47">
        <f t="shared" si="272"/>
        <v>2.8755778163853257E-2</v>
      </c>
      <c r="AL79" s="47">
        <f t="shared" ref="AL79:AM79" si="273">AL77/$B$12</f>
        <v>2.942467007235328E-2</v>
      </c>
      <c r="AM79" s="47">
        <f t="shared" si="273"/>
        <v>2.9841134378877806E-2</v>
      </c>
      <c r="AN79" s="47">
        <f t="shared" ref="AN79:AO79" si="274">AN77/$B$12</f>
        <v>2.8337267314327494E-2</v>
      </c>
      <c r="AO79" s="47">
        <f t="shared" si="274"/>
        <v>2.9039544803327041E-2</v>
      </c>
      <c r="AP79" s="47">
        <f t="shared" ref="AP79:AQ79" si="275">AP77/$B$12</f>
        <v>2.8880090930532287E-2</v>
      </c>
      <c r="AQ79" s="47">
        <f t="shared" si="275"/>
        <v>2.942308581325077E-2</v>
      </c>
      <c r="AR79" s="47">
        <f t="shared" ref="AR79:AS79" si="276">AR77/$B$12</f>
        <v>3.0225881002766321E-2</v>
      </c>
      <c r="AS79" s="47">
        <f t="shared" si="276"/>
        <v>3.0796778885602821E-2</v>
      </c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</row>
    <row r="80" spans="2:76" x14ac:dyDescent="0.3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77">IF(P79&gt;VLOOKUP(P76,$BV$3:$BX$75,2,0),"Gatilho atingido","Gatilho não atingido")</f>
        <v>Gatilho não atingido</v>
      </c>
      <c r="Q80" s="47" t="str">
        <f t="shared" si="277"/>
        <v>Gatilho não atingido</v>
      </c>
      <c r="R80" s="47" t="str">
        <f t="shared" si="277"/>
        <v>Gatilho não atingido</v>
      </c>
      <c r="S80" s="47" t="str">
        <f t="shared" si="277"/>
        <v>Gatilho não atingido</v>
      </c>
      <c r="T80" s="47" t="str">
        <f t="shared" si="277"/>
        <v>Gatilho não atingido</v>
      </c>
      <c r="U80" s="47" t="str">
        <f t="shared" si="277"/>
        <v>Gatilho não atingido</v>
      </c>
      <c r="V80" s="47" t="str">
        <f t="shared" si="277"/>
        <v>Gatilho não atingido</v>
      </c>
      <c r="W80" s="47" t="str">
        <f t="shared" si="277"/>
        <v>Gatilho não atingido</v>
      </c>
      <c r="X80" s="47" t="str">
        <f t="shared" si="277"/>
        <v>Gatilho não atingido</v>
      </c>
      <c r="Y80" s="47" t="str">
        <f t="shared" si="277"/>
        <v>Gatilho não atingido</v>
      </c>
      <c r="Z80" s="47" t="str">
        <f t="shared" si="277"/>
        <v>Gatilho não atingido</v>
      </c>
      <c r="AA80" s="47" t="str">
        <f t="shared" si="277"/>
        <v>Gatilho não atingido</v>
      </c>
      <c r="AB80" s="47" t="str">
        <f t="shared" si="277"/>
        <v>Gatilho não atingido</v>
      </c>
      <c r="AC80" s="47" t="str">
        <f t="shared" ref="AC80:AD80" si="278">IF(AC79&gt;VLOOKUP(AC76,$BV$3:$BX$75,2,0),"Gatilho atingido","Gatilho não atingido")</f>
        <v>Gatilho não atingido</v>
      </c>
      <c r="AD80" s="47" t="str">
        <f t="shared" si="278"/>
        <v>Gatilho não atingido</v>
      </c>
      <c r="AE80" s="47" t="str">
        <f t="shared" ref="AE80:AJ80" si="279">IF(AE79&gt;VLOOKUP(AE76,$BV$3:$BX$75,2,0),"Gatilho atingido","Gatilho não atingido")</f>
        <v>Gatilho não atingido</v>
      </c>
      <c r="AF80" s="47" t="str">
        <f t="shared" si="279"/>
        <v>Gatilho não atingido</v>
      </c>
      <c r="AG80" s="47" t="str">
        <f t="shared" si="279"/>
        <v>Gatilho não atingido</v>
      </c>
      <c r="AH80" s="47" t="str">
        <f t="shared" si="279"/>
        <v>Gatilho não atingido</v>
      </c>
      <c r="AI80" s="47" t="str">
        <f t="shared" si="279"/>
        <v>Gatilho não atingido</v>
      </c>
      <c r="AJ80" s="47" t="str">
        <f t="shared" si="279"/>
        <v>Gatilho não atingido</v>
      </c>
      <c r="AK80" s="47" t="str">
        <f t="shared" ref="AK80:AL80" si="280">IF(AK79&gt;VLOOKUP(AK76,$BV$3:$BX$75,2,0),"Gatilho atingido","Gatilho não atingido")</f>
        <v>Gatilho não atingido</v>
      </c>
      <c r="AL80" s="47" t="str">
        <f t="shared" si="280"/>
        <v>Gatilho não atingido</v>
      </c>
      <c r="AM80" s="47" t="str">
        <f t="shared" ref="AM80:AN80" si="281">IF(AM79&gt;VLOOKUP(AM76,$BV$3:$BX$75,2,0),"Gatilho atingido","Gatilho não atingido")</f>
        <v>Gatilho não atingido</v>
      </c>
      <c r="AN80" s="47" t="str">
        <f t="shared" si="281"/>
        <v>Gatilho não atingido</v>
      </c>
      <c r="AO80" s="47" t="str">
        <f t="shared" ref="AO80:AP80" si="282">IF(AO79&gt;VLOOKUP(AO76,$BV$3:$BX$75,2,0),"Gatilho atingido","Gatilho não atingido")</f>
        <v>Gatilho não atingido</v>
      </c>
      <c r="AP80" s="47" t="str">
        <f t="shared" si="282"/>
        <v>Gatilho não atingido</v>
      </c>
      <c r="AQ80" s="47" t="str">
        <f t="shared" ref="AQ80:AR80" si="283">IF(AQ79&gt;VLOOKUP(AQ76,$BV$3:$BX$75,2,0),"Gatilho atingido","Gatilho não atingido")</f>
        <v>Gatilho não atingido</v>
      </c>
      <c r="AR80" s="47" t="str">
        <f t="shared" si="283"/>
        <v>Gatilho não atingido</v>
      </c>
      <c r="AS80" s="47" t="str">
        <f t="shared" ref="AS80" si="284">IF(AS79&gt;VLOOKUP(AS76,$BV$3:$BX$75,2,0),"Gatilho atingido","Gatilho não atingido")</f>
        <v>Gatilho não atingido</v>
      </c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</row>
    <row r="81" spans="2:76" x14ac:dyDescent="0.3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85">IF(P79&gt;VLOOKUP(P76,$BV$3:$BX$75,3,0),"Gatilho atingido","Gatilho não atingido")</f>
        <v>Gatilho não atingido</v>
      </c>
      <c r="Q81" s="47" t="str">
        <f t="shared" si="285"/>
        <v>Gatilho não atingido</v>
      </c>
      <c r="R81" s="47" t="str">
        <f t="shared" si="285"/>
        <v>Gatilho não atingido</v>
      </c>
      <c r="S81" s="47" t="str">
        <f t="shared" si="285"/>
        <v>Gatilho não atingido</v>
      </c>
      <c r="T81" s="47" t="str">
        <f t="shared" si="285"/>
        <v>Gatilho não atingido</v>
      </c>
      <c r="U81" s="47" t="str">
        <f t="shared" si="285"/>
        <v>Gatilho não atingido</v>
      </c>
      <c r="V81" s="47" t="str">
        <f t="shared" si="285"/>
        <v>Gatilho não atingido</v>
      </c>
      <c r="W81" s="47" t="str">
        <f t="shared" si="285"/>
        <v>Gatilho não atingido</v>
      </c>
      <c r="X81" s="47" t="str">
        <f t="shared" si="285"/>
        <v>Gatilho não atingido</v>
      </c>
      <c r="Y81" s="47" t="str">
        <f t="shared" si="285"/>
        <v>Gatilho não atingido</v>
      </c>
      <c r="Z81" s="47" t="str">
        <f t="shared" si="285"/>
        <v>Gatilho não atingido</v>
      </c>
      <c r="AA81" s="47" t="str">
        <f t="shared" si="285"/>
        <v>Gatilho não atingido</v>
      </c>
      <c r="AB81" s="47" t="str">
        <f t="shared" si="285"/>
        <v>Gatilho não atingido</v>
      </c>
      <c r="AC81" s="47" t="str">
        <f t="shared" ref="AC81:AD81" si="286">IF(AC79&gt;VLOOKUP(AC76,$BV$3:$BX$75,3,0),"Gatilho atingido","Gatilho não atingido")</f>
        <v>Gatilho não atingido</v>
      </c>
      <c r="AD81" s="47" t="str">
        <f t="shared" si="286"/>
        <v>Gatilho não atingido</v>
      </c>
      <c r="AE81" s="47" t="str">
        <f t="shared" ref="AE81:AJ81" si="287">IF(AE79&gt;VLOOKUP(AE76,$BV$3:$BX$75,3,0),"Gatilho atingido","Gatilho não atingido")</f>
        <v>Gatilho não atingido</v>
      </c>
      <c r="AF81" s="47" t="str">
        <f t="shared" si="287"/>
        <v>Gatilho não atingido</v>
      </c>
      <c r="AG81" s="47" t="str">
        <f t="shared" si="287"/>
        <v>Gatilho não atingido</v>
      </c>
      <c r="AH81" s="47" t="str">
        <f t="shared" si="287"/>
        <v>Gatilho não atingido</v>
      </c>
      <c r="AI81" s="47" t="str">
        <f t="shared" si="287"/>
        <v>Gatilho não atingido</v>
      </c>
      <c r="AJ81" s="47" t="str">
        <f t="shared" si="287"/>
        <v>Gatilho não atingido</v>
      </c>
      <c r="AK81" s="47" t="str">
        <f t="shared" ref="AK81:AL81" si="288">IF(AK79&gt;VLOOKUP(AK76,$BV$3:$BX$75,3,0),"Gatilho atingido","Gatilho não atingido")</f>
        <v>Gatilho não atingido</v>
      </c>
      <c r="AL81" s="47" t="str">
        <f t="shared" si="288"/>
        <v>Gatilho não atingido</v>
      </c>
      <c r="AM81" s="47" t="str">
        <f t="shared" ref="AM81:AN81" si="289">IF(AM79&gt;VLOOKUP(AM76,$BV$3:$BX$75,3,0),"Gatilho atingido","Gatilho não atingido")</f>
        <v>Gatilho não atingido</v>
      </c>
      <c r="AN81" s="47" t="str">
        <f t="shared" si="289"/>
        <v>Gatilho não atingido</v>
      </c>
      <c r="AO81" s="47" t="str">
        <f t="shared" ref="AO81:AP81" si="290">IF(AO79&gt;VLOOKUP(AO76,$BV$3:$BX$75,3,0),"Gatilho atingido","Gatilho não atingido")</f>
        <v>Gatilho não atingido</v>
      </c>
      <c r="AP81" s="47" t="str">
        <f t="shared" si="290"/>
        <v>Gatilho não atingido</v>
      </c>
      <c r="AQ81" s="47" t="str">
        <f t="shared" ref="AQ81:AR81" si="291">IF(AQ79&gt;VLOOKUP(AQ76,$BV$3:$BX$75,3,0),"Gatilho atingido","Gatilho não atingido")</f>
        <v>Gatilho não atingido</v>
      </c>
      <c r="AR81" s="47" t="str">
        <f t="shared" si="291"/>
        <v>Gatilho não atingido</v>
      </c>
      <c r="AS81" s="47" t="str">
        <f t="shared" ref="AS81" si="292">IF(AS79&gt;VLOOKUP(AS76,$BV$3:$BX$75,3,0),"Gatilho atingido","Gatilho não atingido")</f>
        <v>Gatilho não atingido</v>
      </c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</row>
    <row r="82" spans="2:76" x14ac:dyDescent="0.3">
      <c r="B82" s="43"/>
      <c r="C82" s="78"/>
      <c r="D82" s="43"/>
      <c r="E82" s="44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</row>
    <row r="83" spans="2:76" x14ac:dyDescent="0.3">
      <c r="F83" s="13"/>
      <c r="G83" s="98" t="s">
        <v>116</v>
      </c>
      <c r="H83" s="98"/>
      <c r="I83" s="98"/>
      <c r="J83" s="98"/>
      <c r="K83" s="98"/>
      <c r="L83" s="98"/>
      <c r="M83" s="98"/>
      <c r="N83" s="98"/>
      <c r="O83" s="98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</row>
    <row r="84" spans="2:76" x14ac:dyDescent="0.3">
      <c r="F84" s="38" t="s">
        <v>149</v>
      </c>
      <c r="G84" s="39">
        <v>43770</v>
      </c>
      <c r="H84" s="39">
        <f t="shared" ref="H84" si="293">EDATE(G84,1)</f>
        <v>43800</v>
      </c>
      <c r="I84" s="39">
        <f t="shared" ref="I84" si="294">EDATE(H84,1)</f>
        <v>43831</v>
      </c>
      <c r="J84" s="39">
        <f t="shared" ref="J84" si="295">EDATE(I84,1)</f>
        <v>43862</v>
      </c>
      <c r="K84" s="39">
        <f t="shared" ref="K84" si="296">EDATE(J84,1)</f>
        <v>43891</v>
      </c>
      <c r="L84" s="39">
        <f t="shared" ref="L84" si="297">EDATE(K84,1)</f>
        <v>43922</v>
      </c>
      <c r="M84" s="39">
        <f t="shared" ref="M84" si="298">EDATE(L84,1)</f>
        <v>43952</v>
      </c>
      <c r="N84" s="39">
        <f t="shared" ref="N84" si="299">EDATE(M84,1)</f>
        <v>43983</v>
      </c>
      <c r="O84" s="39">
        <f t="shared" ref="O84" si="300">EDATE(N84,1)</f>
        <v>44013</v>
      </c>
      <c r="P84" s="39">
        <f t="shared" ref="P84:U84" si="301">EDATE(O84,1)</f>
        <v>44044</v>
      </c>
      <c r="Q84" s="39">
        <f t="shared" si="301"/>
        <v>44075</v>
      </c>
      <c r="R84" s="39">
        <f t="shared" si="301"/>
        <v>44105</v>
      </c>
      <c r="S84" s="39">
        <f t="shared" si="301"/>
        <v>44136</v>
      </c>
      <c r="T84" s="39">
        <f t="shared" si="301"/>
        <v>44166</v>
      </c>
      <c r="U84" s="39">
        <f t="shared" si="301"/>
        <v>44197</v>
      </c>
      <c r="V84" s="39">
        <f t="shared" ref="V84:AS84" si="302">EDATE(U84,1)</f>
        <v>44228</v>
      </c>
      <c r="W84" s="39">
        <f t="shared" si="302"/>
        <v>44256</v>
      </c>
      <c r="X84" s="39">
        <f t="shared" si="302"/>
        <v>44287</v>
      </c>
      <c r="Y84" s="39">
        <f t="shared" si="302"/>
        <v>44317</v>
      </c>
      <c r="Z84" s="39">
        <f t="shared" si="302"/>
        <v>44348</v>
      </c>
      <c r="AA84" s="39">
        <f t="shared" si="302"/>
        <v>44378</v>
      </c>
      <c r="AB84" s="39">
        <f t="shared" si="302"/>
        <v>44409</v>
      </c>
      <c r="AC84" s="39">
        <f t="shared" si="302"/>
        <v>44440</v>
      </c>
      <c r="AD84" s="39">
        <f t="shared" si="302"/>
        <v>44470</v>
      </c>
      <c r="AE84" s="39">
        <f t="shared" si="302"/>
        <v>44501</v>
      </c>
      <c r="AF84" s="39">
        <f t="shared" si="302"/>
        <v>44531</v>
      </c>
      <c r="AG84" s="39">
        <f t="shared" si="302"/>
        <v>44562</v>
      </c>
      <c r="AH84" s="39">
        <f t="shared" si="302"/>
        <v>44593</v>
      </c>
      <c r="AI84" s="39">
        <f t="shared" si="302"/>
        <v>44621</v>
      </c>
      <c r="AJ84" s="39">
        <f t="shared" si="302"/>
        <v>44652</v>
      </c>
      <c r="AK84" s="39">
        <f t="shared" si="302"/>
        <v>44682</v>
      </c>
      <c r="AL84" s="39">
        <f t="shared" si="302"/>
        <v>44713</v>
      </c>
      <c r="AM84" s="39">
        <f t="shared" si="302"/>
        <v>44743</v>
      </c>
      <c r="AN84" s="39">
        <f t="shared" si="302"/>
        <v>44774</v>
      </c>
      <c r="AO84" s="39">
        <f t="shared" si="302"/>
        <v>44805</v>
      </c>
      <c r="AP84" s="39">
        <f t="shared" si="302"/>
        <v>44835</v>
      </c>
      <c r="AQ84" s="39">
        <f t="shared" si="302"/>
        <v>44866</v>
      </c>
      <c r="AR84" s="39">
        <f t="shared" si="302"/>
        <v>44896</v>
      </c>
      <c r="AS84" s="39">
        <f t="shared" si="302"/>
        <v>44927</v>
      </c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</row>
    <row r="85" spans="2:76" x14ac:dyDescent="0.3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303">O85+1</f>
        <v>1</v>
      </c>
      <c r="Q85" s="50">
        <f t="shared" si="303"/>
        <v>2</v>
      </c>
      <c r="R85" s="50">
        <f t="shared" si="303"/>
        <v>3</v>
      </c>
      <c r="S85" s="50">
        <f t="shared" si="303"/>
        <v>4</v>
      </c>
      <c r="T85" s="50">
        <f t="shared" si="303"/>
        <v>5</v>
      </c>
      <c r="U85" s="50">
        <f t="shared" si="303"/>
        <v>6</v>
      </c>
      <c r="V85" s="50">
        <f t="shared" ref="V85:AS85" si="304">U85+1</f>
        <v>7</v>
      </c>
      <c r="W85" s="50">
        <f t="shared" si="304"/>
        <v>8</v>
      </c>
      <c r="X85" s="50">
        <f t="shared" si="304"/>
        <v>9</v>
      </c>
      <c r="Y85" s="50">
        <f t="shared" si="304"/>
        <v>10</v>
      </c>
      <c r="Z85" s="50">
        <f t="shared" si="304"/>
        <v>11</v>
      </c>
      <c r="AA85" s="50">
        <f t="shared" si="304"/>
        <v>12</v>
      </c>
      <c r="AB85" s="50">
        <f t="shared" si="304"/>
        <v>13</v>
      </c>
      <c r="AC85" s="50">
        <f t="shared" si="304"/>
        <v>14</v>
      </c>
      <c r="AD85" s="50">
        <f t="shared" si="304"/>
        <v>15</v>
      </c>
      <c r="AE85" s="50">
        <f t="shared" si="304"/>
        <v>16</v>
      </c>
      <c r="AF85" s="50">
        <f t="shared" si="304"/>
        <v>17</v>
      </c>
      <c r="AG85" s="50">
        <f t="shared" si="304"/>
        <v>18</v>
      </c>
      <c r="AH85" s="50">
        <f t="shared" si="304"/>
        <v>19</v>
      </c>
      <c r="AI85" s="50">
        <f t="shared" si="304"/>
        <v>20</v>
      </c>
      <c r="AJ85" s="50">
        <f t="shared" si="304"/>
        <v>21</v>
      </c>
      <c r="AK85" s="50">
        <f t="shared" si="304"/>
        <v>22</v>
      </c>
      <c r="AL85" s="50">
        <f t="shared" si="304"/>
        <v>23</v>
      </c>
      <c r="AM85" s="50">
        <f t="shared" si="304"/>
        <v>24</v>
      </c>
      <c r="AN85" s="50">
        <f t="shared" si="304"/>
        <v>25</v>
      </c>
      <c r="AO85" s="50">
        <f t="shared" si="304"/>
        <v>26</v>
      </c>
      <c r="AP85" s="50">
        <f t="shared" si="304"/>
        <v>27</v>
      </c>
      <c r="AQ85" s="50">
        <f t="shared" si="304"/>
        <v>28</v>
      </c>
      <c r="AR85" s="50">
        <f t="shared" si="304"/>
        <v>29</v>
      </c>
      <c r="AS85" s="50">
        <f t="shared" si="304"/>
        <v>30</v>
      </c>
    </row>
    <row r="86" spans="2:76" x14ac:dyDescent="0.3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v>8844504.4533620011</v>
      </c>
      <c r="AO86" s="21">
        <v>9004507.7061810065</v>
      </c>
      <c r="AP86" s="21">
        <v>9030793.9693670105</v>
      </c>
      <c r="AQ86" s="21">
        <v>9099492.7823420037</v>
      </c>
      <c r="AR86" s="21">
        <v>9338251.1072270088</v>
      </c>
      <c r="AS86" s="21">
        <f>SUM('Capa Final'!$L$37:$L$38)+SUM('Capa Final'!$L$46:$L$47)</f>
        <v>9492544.9966080002</v>
      </c>
      <c r="AT86" s="46"/>
    </row>
    <row r="87" spans="2:76" x14ac:dyDescent="0.3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v>190549.88480300002</v>
      </c>
      <c r="AO87" s="21">
        <v>216809.60824199999</v>
      </c>
      <c r="AP87" s="21">
        <v>57726.06381</v>
      </c>
      <c r="AQ87" s="21">
        <v>78864.161946000007</v>
      </c>
      <c r="AR87" s="21">
        <v>328441.74306599994</v>
      </c>
      <c r="AS87" s="21">
        <f>'Capa Final'!$L$37+'Capa Final'!$L$46</f>
        <v>159973.60065800004</v>
      </c>
      <c r="AT87" s="46"/>
    </row>
    <row r="88" spans="2:76" x14ac:dyDescent="0.3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305">X86/$B$13</f>
        <v>1.0996367928805244E-2</v>
      </c>
      <c r="Y88" s="47">
        <f t="shared" si="305"/>
        <v>1.5382896515555761E-2</v>
      </c>
      <c r="Z88" s="47">
        <f t="shared" si="305"/>
        <v>1.6811814661886252E-2</v>
      </c>
      <c r="AA88" s="47">
        <f t="shared" si="305"/>
        <v>1.9391517258660375E-2</v>
      </c>
      <c r="AB88" s="47">
        <f t="shared" si="305"/>
        <v>2.1325070242465109E-2</v>
      </c>
      <c r="AC88" s="47">
        <f t="shared" si="305"/>
        <v>2.3529326970666033E-2</v>
      </c>
      <c r="AD88" s="47">
        <f t="shared" ref="AD88:AE88" si="306">AD86/$B$13</f>
        <v>2.573052561433976E-2</v>
      </c>
      <c r="AE88" s="47">
        <f t="shared" si="306"/>
        <v>2.7669036757348275E-2</v>
      </c>
      <c r="AF88" s="47">
        <f t="shared" ref="AF88:AG88" si="307">AF86/$B$13</f>
        <v>2.8752146772448417E-2</v>
      </c>
      <c r="AG88" s="47">
        <f t="shared" si="307"/>
        <v>2.9842248846645394E-2</v>
      </c>
      <c r="AH88" s="47">
        <f t="shared" ref="AH88:AI88" si="308">AH86/$B$13</f>
        <v>3.0048092603742277E-2</v>
      </c>
      <c r="AI88" s="47">
        <f t="shared" si="308"/>
        <v>3.0577020586702908E-2</v>
      </c>
      <c r="AJ88" s="47">
        <f t="shared" ref="AJ88:AK88" si="309">AJ86/$B$13</f>
        <v>3.192215510960579E-2</v>
      </c>
      <c r="AK88" s="47">
        <f t="shared" si="309"/>
        <v>3.2519626778023301E-2</v>
      </c>
      <c r="AL88" s="47">
        <f t="shared" ref="AL88:AM88" si="310">AL86/$B$13</f>
        <v>3.3385395719846452E-2</v>
      </c>
      <c r="AM88" s="47">
        <f t="shared" si="310"/>
        <v>3.3876452271606322E-2</v>
      </c>
      <c r="AN88" s="47">
        <f t="shared" ref="AN88:AO88" si="311">AN86/$B$13</f>
        <v>3.13538460793557E-2</v>
      </c>
      <c r="AO88" s="47">
        <f t="shared" si="311"/>
        <v>3.1921059017913991E-2</v>
      </c>
      <c r="AP88" s="47">
        <f t="shared" ref="AP88:AQ88" si="312">AP86/$B$13</f>
        <v>3.2014244052110237E-2</v>
      </c>
      <c r="AQ88" s="47">
        <f t="shared" si="312"/>
        <v>3.2257781948349704E-2</v>
      </c>
      <c r="AR88" s="47">
        <f t="shared" ref="AR88:AS88" si="313">AR86/$B$13</f>
        <v>3.3104182310075302E-2</v>
      </c>
      <c r="AS88" s="47">
        <f t="shared" si="313"/>
        <v>3.3651155505028903E-2</v>
      </c>
      <c r="AT88" s="46"/>
      <c r="BW88" s="68"/>
      <c r="BX88" s="68"/>
    </row>
    <row r="89" spans="2:76" x14ac:dyDescent="0.3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314">IF(Q88&gt;VLOOKUP(Q85,$BV$3:$BX$75,2,0),"Gatilho atingido","Gatilho não atingido")</f>
        <v>Gatilho não atingido</v>
      </c>
      <c r="R89" s="47" t="str">
        <f t="shared" si="314"/>
        <v>Gatilho não atingido</v>
      </c>
      <c r="S89" s="47" t="str">
        <f t="shared" si="314"/>
        <v>Gatilho não atingido</v>
      </c>
      <c r="T89" s="47" t="str">
        <f t="shared" si="314"/>
        <v>Gatilho não atingido</v>
      </c>
      <c r="U89" s="47" t="str">
        <f t="shared" si="314"/>
        <v>Gatilho não atingido</v>
      </c>
      <c r="V89" s="47" t="str">
        <f t="shared" si="314"/>
        <v>Gatilho não atingido</v>
      </c>
      <c r="W89" s="47" t="str">
        <f t="shared" si="314"/>
        <v>Gatilho não atingido</v>
      </c>
      <c r="X89" s="47" t="str">
        <f t="shared" si="314"/>
        <v>Gatilho não atingido</v>
      </c>
      <c r="Y89" s="47" t="str">
        <f t="shared" si="314"/>
        <v>Gatilho não atingido</v>
      </c>
      <c r="Z89" s="47" t="str">
        <f t="shared" si="314"/>
        <v>Gatilho não atingido</v>
      </c>
      <c r="AA89" s="47" t="str">
        <f t="shared" si="314"/>
        <v>Gatilho não atingido</v>
      </c>
      <c r="AB89" s="47" t="str">
        <f t="shared" si="314"/>
        <v>Gatilho não atingido</v>
      </c>
      <c r="AC89" s="47" t="str">
        <f t="shared" ref="AC89:AD89" si="315">IF(AC88&gt;VLOOKUP(AC85,$BV$3:$BX$75,2,0),"Gatilho atingido","Gatilho não atingido")</f>
        <v>Gatilho não atingido</v>
      </c>
      <c r="AD89" s="47" t="str">
        <f t="shared" si="315"/>
        <v>Gatilho não atingido</v>
      </c>
      <c r="AE89" s="47" t="str">
        <f t="shared" ref="AE89:AJ89" si="316">IF(AE88&gt;VLOOKUP(AE85,$BV$3:$BX$75,2,0),"Gatilho atingido","Gatilho não atingido")</f>
        <v>Gatilho não atingido</v>
      </c>
      <c r="AF89" s="47" t="str">
        <f t="shared" si="316"/>
        <v>Gatilho não atingido</v>
      </c>
      <c r="AG89" s="47" t="str">
        <f t="shared" si="316"/>
        <v>Gatilho não atingido</v>
      </c>
      <c r="AH89" s="47" t="str">
        <f t="shared" si="316"/>
        <v>Gatilho não atingido</v>
      </c>
      <c r="AI89" s="47" t="str">
        <f t="shared" si="316"/>
        <v>Gatilho não atingido</v>
      </c>
      <c r="AJ89" s="47" t="str">
        <f t="shared" si="316"/>
        <v>Gatilho não atingido</v>
      </c>
      <c r="AK89" s="47" t="str">
        <f t="shared" ref="AK89:AL89" si="317">IF(AK88&gt;VLOOKUP(AK85,$BV$3:$BX$75,2,0),"Gatilho atingido","Gatilho não atingido")</f>
        <v>Gatilho não atingido</v>
      </c>
      <c r="AL89" s="47" t="str">
        <f t="shared" si="317"/>
        <v>Gatilho não atingido</v>
      </c>
      <c r="AM89" s="47" t="str">
        <f t="shared" ref="AM89:AN89" si="318">IF(AM88&gt;VLOOKUP(AM85,$BV$3:$BX$75,2,0),"Gatilho atingido","Gatilho não atingido")</f>
        <v>Gatilho não atingido</v>
      </c>
      <c r="AN89" s="47" t="str">
        <f t="shared" si="318"/>
        <v>Gatilho não atingido</v>
      </c>
      <c r="AO89" s="47" t="str">
        <f t="shared" ref="AO89:AP89" si="319">IF(AO88&gt;VLOOKUP(AO85,$BV$3:$BX$75,2,0),"Gatilho atingido","Gatilho não atingido")</f>
        <v>Gatilho não atingido</v>
      </c>
      <c r="AP89" s="47" t="str">
        <f t="shared" si="319"/>
        <v>Gatilho não atingido</v>
      </c>
      <c r="AQ89" s="47" t="str">
        <f t="shared" ref="AQ89:AR89" si="320">IF(AQ88&gt;VLOOKUP(AQ85,$BV$3:$BX$75,2,0),"Gatilho atingido","Gatilho não atingido")</f>
        <v>Gatilho não atingido</v>
      </c>
      <c r="AR89" s="47" t="str">
        <f t="shared" si="320"/>
        <v>Gatilho não atingido</v>
      </c>
      <c r="AS89" s="47" t="str">
        <f t="shared" ref="AS89" si="321">IF(AS88&gt;VLOOKUP(AS85,$BV$3:$BX$75,2,0),"Gatilho atingido","Gatilho não atingido")</f>
        <v>Gatilho não atingido</v>
      </c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</row>
    <row r="90" spans="2:76" x14ac:dyDescent="0.3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322">IF(Q88&gt;VLOOKUP(Q85,$BV$3:$BX$75,3,0),"Gatilho atingido","Gatilho não atingido")</f>
        <v>Gatilho não atingido</v>
      </c>
      <c r="R90" s="47" t="str">
        <f t="shared" si="322"/>
        <v>Gatilho não atingido</v>
      </c>
      <c r="S90" s="47" t="str">
        <f t="shared" si="322"/>
        <v>Gatilho não atingido</v>
      </c>
      <c r="T90" s="47" t="str">
        <f t="shared" si="322"/>
        <v>Gatilho não atingido</v>
      </c>
      <c r="U90" s="47" t="str">
        <f t="shared" si="322"/>
        <v>Gatilho não atingido</v>
      </c>
      <c r="V90" s="47" t="str">
        <f t="shared" si="322"/>
        <v>Gatilho não atingido</v>
      </c>
      <c r="W90" s="47" t="str">
        <f t="shared" si="322"/>
        <v>Gatilho não atingido</v>
      </c>
      <c r="X90" s="47" t="str">
        <f t="shared" si="322"/>
        <v>Gatilho não atingido</v>
      </c>
      <c r="Y90" s="47" t="str">
        <f t="shared" si="322"/>
        <v>Gatilho não atingido</v>
      </c>
      <c r="Z90" s="47" t="str">
        <f t="shared" si="322"/>
        <v>Gatilho não atingido</v>
      </c>
      <c r="AA90" s="47" t="str">
        <f t="shared" si="322"/>
        <v>Gatilho não atingido</v>
      </c>
      <c r="AB90" s="47" t="str">
        <f t="shared" si="322"/>
        <v>Gatilho não atingido</v>
      </c>
      <c r="AC90" s="47" t="str">
        <f t="shared" ref="AC90:AD90" si="323">IF(AC88&gt;VLOOKUP(AC85,$BV$3:$BX$75,3,0),"Gatilho atingido","Gatilho não atingido")</f>
        <v>Gatilho não atingido</v>
      </c>
      <c r="AD90" s="47" t="str">
        <f t="shared" si="323"/>
        <v>Gatilho não atingido</v>
      </c>
      <c r="AE90" s="47" t="str">
        <f t="shared" ref="AE90:AJ90" si="324">IF(AE88&gt;VLOOKUP(AE85,$BV$3:$BX$75,3,0),"Gatilho atingido","Gatilho não atingido")</f>
        <v>Gatilho não atingido</v>
      </c>
      <c r="AF90" s="47" t="str">
        <f t="shared" si="324"/>
        <v>Gatilho não atingido</v>
      </c>
      <c r="AG90" s="47" t="str">
        <f t="shared" si="324"/>
        <v>Gatilho não atingido</v>
      </c>
      <c r="AH90" s="47" t="str">
        <f t="shared" si="324"/>
        <v>Gatilho não atingido</v>
      </c>
      <c r="AI90" s="47" t="str">
        <f t="shared" si="324"/>
        <v>Gatilho não atingido</v>
      </c>
      <c r="AJ90" s="47" t="str">
        <f t="shared" si="324"/>
        <v>Gatilho não atingido</v>
      </c>
      <c r="AK90" s="47" t="str">
        <f t="shared" ref="AK90:AL90" si="325">IF(AK88&gt;VLOOKUP(AK85,$BV$3:$BX$75,3,0),"Gatilho atingido","Gatilho não atingido")</f>
        <v>Gatilho não atingido</v>
      </c>
      <c r="AL90" s="47" t="str">
        <f t="shared" si="325"/>
        <v>Gatilho não atingido</v>
      </c>
      <c r="AM90" s="47" t="str">
        <f t="shared" ref="AM90:AN90" si="326">IF(AM88&gt;VLOOKUP(AM85,$BV$3:$BX$75,3,0),"Gatilho atingido","Gatilho não atingido")</f>
        <v>Gatilho não atingido</v>
      </c>
      <c r="AN90" s="47" t="str">
        <f t="shared" si="326"/>
        <v>Gatilho não atingido</v>
      </c>
      <c r="AO90" s="47" t="str">
        <f t="shared" ref="AO90:AP90" si="327">IF(AO88&gt;VLOOKUP(AO85,$BV$3:$BX$75,3,0),"Gatilho atingido","Gatilho não atingido")</f>
        <v>Gatilho não atingido</v>
      </c>
      <c r="AP90" s="47" t="str">
        <f t="shared" si="327"/>
        <v>Gatilho não atingido</v>
      </c>
      <c r="AQ90" s="47" t="str">
        <f t="shared" ref="AQ90:AR90" si="328">IF(AQ88&gt;VLOOKUP(AQ85,$BV$3:$BX$75,3,0),"Gatilho atingido","Gatilho não atingido")</f>
        <v>Gatilho não atingido</v>
      </c>
      <c r="AR90" s="47" t="str">
        <f t="shared" si="328"/>
        <v>Gatilho não atingido</v>
      </c>
      <c r="AS90" s="47" t="str">
        <f t="shared" ref="AS90" si="329">IF(AS88&gt;VLOOKUP(AS85,$BV$3:$BX$75,3,0),"Gatilho atingido","Gatilho não atingido")</f>
        <v>Gatilho não atingido</v>
      </c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</row>
    <row r="91" spans="2:76" x14ac:dyDescent="0.3"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</row>
    <row r="92" spans="2:76" x14ac:dyDescent="0.3">
      <c r="F92" s="13"/>
      <c r="G92" s="98" t="s">
        <v>116</v>
      </c>
      <c r="H92" s="98"/>
      <c r="I92" s="98"/>
      <c r="J92" s="98"/>
      <c r="K92" s="98"/>
      <c r="L92" s="98"/>
      <c r="M92" s="98"/>
      <c r="N92" s="98"/>
      <c r="O92" s="98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</row>
    <row r="93" spans="2:76" x14ac:dyDescent="0.3">
      <c r="F93" s="38" t="s">
        <v>169</v>
      </c>
      <c r="G93" s="39">
        <v>43770</v>
      </c>
      <c r="H93" s="39">
        <f t="shared" ref="H93" si="330">EDATE(G93,1)</f>
        <v>43800</v>
      </c>
      <c r="I93" s="39">
        <f t="shared" ref="I93" si="331">EDATE(H93,1)</f>
        <v>43831</v>
      </c>
      <c r="J93" s="39">
        <f t="shared" ref="J93" si="332">EDATE(I93,1)</f>
        <v>43862</v>
      </c>
      <c r="K93" s="39">
        <f t="shared" ref="K93" si="333">EDATE(J93,1)</f>
        <v>43891</v>
      </c>
      <c r="L93" s="39">
        <f t="shared" ref="L93" si="334">EDATE(K93,1)</f>
        <v>43922</v>
      </c>
      <c r="M93" s="39">
        <f t="shared" ref="M93" si="335">EDATE(L93,1)</f>
        <v>43952</v>
      </c>
      <c r="N93" s="39">
        <f t="shared" ref="N93" si="336">EDATE(M93,1)</f>
        <v>43983</v>
      </c>
      <c r="O93" s="39">
        <f t="shared" ref="O93" si="337">EDATE(N93,1)</f>
        <v>44013</v>
      </c>
      <c r="P93" s="39">
        <f t="shared" ref="P93:U93" si="338">EDATE(O93,1)</f>
        <v>44044</v>
      </c>
      <c r="Q93" s="39">
        <f t="shared" si="338"/>
        <v>44075</v>
      </c>
      <c r="R93" s="39">
        <f t="shared" si="338"/>
        <v>44105</v>
      </c>
      <c r="S93" s="39">
        <f t="shared" si="338"/>
        <v>44136</v>
      </c>
      <c r="T93" s="39">
        <f t="shared" si="338"/>
        <v>44166</v>
      </c>
      <c r="U93" s="39">
        <f t="shared" si="338"/>
        <v>44197</v>
      </c>
      <c r="V93" s="39">
        <f t="shared" ref="V93:AS93" si="339">EDATE(U93,1)</f>
        <v>44228</v>
      </c>
      <c r="W93" s="39">
        <f t="shared" si="339"/>
        <v>44256</v>
      </c>
      <c r="X93" s="39">
        <f t="shared" si="339"/>
        <v>44287</v>
      </c>
      <c r="Y93" s="39">
        <f t="shared" si="339"/>
        <v>44317</v>
      </c>
      <c r="Z93" s="39">
        <f t="shared" si="339"/>
        <v>44348</v>
      </c>
      <c r="AA93" s="39">
        <f t="shared" si="339"/>
        <v>44378</v>
      </c>
      <c r="AB93" s="39">
        <f t="shared" si="339"/>
        <v>44409</v>
      </c>
      <c r="AC93" s="39">
        <f t="shared" si="339"/>
        <v>44440</v>
      </c>
      <c r="AD93" s="39">
        <f t="shared" si="339"/>
        <v>44470</v>
      </c>
      <c r="AE93" s="39">
        <f t="shared" si="339"/>
        <v>44501</v>
      </c>
      <c r="AF93" s="39">
        <f t="shared" si="339"/>
        <v>44531</v>
      </c>
      <c r="AG93" s="39">
        <f t="shared" si="339"/>
        <v>44562</v>
      </c>
      <c r="AH93" s="39">
        <f t="shared" si="339"/>
        <v>44593</v>
      </c>
      <c r="AI93" s="39">
        <f t="shared" si="339"/>
        <v>44621</v>
      </c>
      <c r="AJ93" s="39">
        <f t="shared" si="339"/>
        <v>44652</v>
      </c>
      <c r="AK93" s="39">
        <f t="shared" si="339"/>
        <v>44682</v>
      </c>
      <c r="AL93" s="39">
        <f t="shared" si="339"/>
        <v>44713</v>
      </c>
      <c r="AM93" s="39">
        <f t="shared" si="339"/>
        <v>44743</v>
      </c>
      <c r="AN93" s="39">
        <f t="shared" si="339"/>
        <v>44774</v>
      </c>
      <c r="AO93" s="39">
        <f t="shared" si="339"/>
        <v>44805</v>
      </c>
      <c r="AP93" s="39">
        <f t="shared" si="339"/>
        <v>44835</v>
      </c>
      <c r="AQ93" s="39">
        <f t="shared" si="339"/>
        <v>44866</v>
      </c>
      <c r="AR93" s="39">
        <f t="shared" si="339"/>
        <v>44896</v>
      </c>
      <c r="AS93" s="39">
        <f t="shared" si="339"/>
        <v>44927</v>
      </c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</row>
    <row r="94" spans="2:76" x14ac:dyDescent="0.3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S94" si="340">Q94+1</f>
        <v>2</v>
      </c>
      <c r="S94" s="50">
        <f t="shared" si="340"/>
        <v>3</v>
      </c>
      <c r="T94" s="50">
        <f t="shared" si="340"/>
        <v>4</v>
      </c>
      <c r="U94" s="50">
        <f t="shared" si="340"/>
        <v>5</v>
      </c>
      <c r="V94" s="50">
        <f t="shared" si="340"/>
        <v>6</v>
      </c>
      <c r="W94" s="50">
        <f t="shared" si="340"/>
        <v>7</v>
      </c>
      <c r="X94" s="50">
        <f t="shared" si="340"/>
        <v>8</v>
      </c>
      <c r="Y94" s="50">
        <f t="shared" si="340"/>
        <v>9</v>
      </c>
      <c r="Z94" s="50">
        <f t="shared" si="340"/>
        <v>10</v>
      </c>
      <c r="AA94" s="50">
        <f t="shared" si="340"/>
        <v>11</v>
      </c>
      <c r="AB94" s="50">
        <f t="shared" si="340"/>
        <v>12</v>
      </c>
      <c r="AC94" s="50">
        <f t="shared" si="340"/>
        <v>13</v>
      </c>
      <c r="AD94" s="50">
        <f t="shared" si="340"/>
        <v>14</v>
      </c>
      <c r="AE94" s="50">
        <f t="shared" si="340"/>
        <v>15</v>
      </c>
      <c r="AF94" s="50">
        <f t="shared" si="340"/>
        <v>16</v>
      </c>
      <c r="AG94" s="50">
        <f t="shared" si="340"/>
        <v>17</v>
      </c>
      <c r="AH94" s="50">
        <f t="shared" si="340"/>
        <v>18</v>
      </c>
      <c r="AI94" s="50">
        <f t="shared" si="340"/>
        <v>19</v>
      </c>
      <c r="AJ94" s="50">
        <f t="shared" si="340"/>
        <v>20</v>
      </c>
      <c r="AK94" s="50">
        <f t="shared" si="340"/>
        <v>21</v>
      </c>
      <c r="AL94" s="50">
        <f t="shared" si="340"/>
        <v>22</v>
      </c>
      <c r="AM94" s="50">
        <f t="shared" si="340"/>
        <v>23</v>
      </c>
      <c r="AN94" s="50">
        <f t="shared" si="340"/>
        <v>24</v>
      </c>
      <c r="AO94" s="50">
        <f t="shared" si="340"/>
        <v>25</v>
      </c>
      <c r="AP94" s="50">
        <f t="shared" si="340"/>
        <v>26</v>
      </c>
      <c r="AQ94" s="50">
        <f t="shared" si="340"/>
        <v>27</v>
      </c>
      <c r="AR94" s="50">
        <f t="shared" si="340"/>
        <v>28</v>
      </c>
      <c r="AS94" s="50">
        <f t="shared" si="340"/>
        <v>29</v>
      </c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</row>
    <row r="95" spans="2:76" x14ac:dyDescent="0.3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v>4275555.4235350015</v>
      </c>
      <c r="AO95" s="21">
        <v>4446546.8551400015</v>
      </c>
      <c r="AP95" s="21">
        <v>4477997.1581599992</v>
      </c>
      <c r="AQ95" s="21">
        <v>4687257.0903279986</v>
      </c>
      <c r="AR95" s="21">
        <v>4666909.6218349999</v>
      </c>
      <c r="AS95" s="21">
        <f>SUM('Capa Final'!$M$37:$M$38)+SUM('Capa Final'!$M$46:$M$47)</f>
        <v>4889740.5256060027</v>
      </c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</row>
    <row r="96" spans="2:76" x14ac:dyDescent="0.3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v>141778.20462400001</v>
      </c>
      <c r="AO96" s="21">
        <v>182804.64872300002</v>
      </c>
      <c r="AP96" s="21">
        <v>84250.720442999998</v>
      </c>
      <c r="AQ96" s="21">
        <v>189092.27008700001</v>
      </c>
      <c r="AR96" s="21">
        <v>70673.005298000004</v>
      </c>
      <c r="AS96" s="21">
        <f>'Capa Final'!$M$37+'Capa Final'!$M$46</f>
        <v>167960.10127899999</v>
      </c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</row>
    <row r="97" spans="2:76" x14ac:dyDescent="0.3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341">X95/$B$14</f>
        <v>8.0418303761923427E-3</v>
      </c>
      <c r="Y97" s="47">
        <f t="shared" si="341"/>
        <v>1.2149890870715321E-2</v>
      </c>
      <c r="Z97" s="47">
        <f t="shared" si="341"/>
        <v>1.330531100351697E-2</v>
      </c>
      <c r="AA97" s="47">
        <f t="shared" si="341"/>
        <v>1.7085870371218781E-2</v>
      </c>
      <c r="AB97" s="47">
        <f t="shared" si="341"/>
        <v>1.9814629715780702E-2</v>
      </c>
      <c r="AC97" s="47">
        <f t="shared" si="341"/>
        <v>2.2161074978766546E-2</v>
      </c>
      <c r="AD97" s="47">
        <f t="shared" ref="AD97:AE97" si="342">AD95/$B$14</f>
        <v>2.5156287808966057E-2</v>
      </c>
      <c r="AE97" s="47">
        <f t="shared" si="342"/>
        <v>2.648960612966483E-2</v>
      </c>
      <c r="AF97" s="47">
        <f t="shared" ref="AF97:AG97" si="343">AF95/$B$14</f>
        <v>2.8758436235542379E-2</v>
      </c>
      <c r="AG97" s="47">
        <f t="shared" si="343"/>
        <v>3.0096613946258725E-2</v>
      </c>
      <c r="AH97" s="47">
        <f t="shared" ref="AH97:AI97" si="344">AH95/$B$14</f>
        <v>3.1125497130336119E-2</v>
      </c>
      <c r="AI97" s="47">
        <f t="shared" si="344"/>
        <v>3.2535579596185797E-2</v>
      </c>
      <c r="AJ97" s="47">
        <f t="shared" ref="AJ97:AK97" si="345">AJ95/$B$14</f>
        <v>3.4593801461326984E-2</v>
      </c>
      <c r="AK97" s="47">
        <f t="shared" si="345"/>
        <v>3.4833452232375273E-2</v>
      </c>
      <c r="AL97" s="47">
        <f t="shared" ref="AL97:AM97" si="346">AL95/$B$14</f>
        <v>3.5583184674524891E-2</v>
      </c>
      <c r="AM97" s="47">
        <f t="shared" si="346"/>
        <v>3.5511029439134818E-2</v>
      </c>
      <c r="AN97" s="47">
        <f t="shared" ref="AN97:AO97" si="347">AN95/$B$14</f>
        <v>3.3808498963562257E-2</v>
      </c>
      <c r="AO97" s="47">
        <f t="shared" si="347"/>
        <v>3.5160595490337253E-2</v>
      </c>
      <c r="AP97" s="47">
        <f t="shared" ref="AP97:AQ97" si="348">AP95/$B$14</f>
        <v>3.5409285410529234E-2</v>
      </c>
      <c r="AQ97" s="47">
        <f t="shared" si="348"/>
        <v>3.7063986028108308E-2</v>
      </c>
      <c r="AR97" s="47">
        <f t="shared" ref="AR97:AS97" si="349">AR95/$B$14</f>
        <v>3.6903090588963725E-2</v>
      </c>
      <c r="AS97" s="47">
        <f t="shared" si="349"/>
        <v>3.8665102218545848E-2</v>
      </c>
    </row>
    <row r="98" spans="2:76" x14ac:dyDescent="0.3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350">IF(Q97&gt;VLOOKUP(Q94,$BV$3:$BX$75,2,0),"Gatilho atingido","Gatilho não atingido")</f>
        <v>Gatilho não atingido</v>
      </c>
      <c r="R98" s="47" t="str">
        <f t="shared" si="350"/>
        <v>Gatilho não atingido</v>
      </c>
      <c r="S98" s="47" t="str">
        <f t="shared" si="350"/>
        <v>Gatilho não atingido</v>
      </c>
      <c r="T98" s="47" t="str">
        <f t="shared" si="350"/>
        <v>Gatilho não atingido</v>
      </c>
      <c r="U98" s="47" t="str">
        <f t="shared" si="350"/>
        <v>Gatilho não atingido</v>
      </c>
      <c r="V98" s="47" t="str">
        <f t="shared" si="350"/>
        <v>Gatilho não atingido</v>
      </c>
      <c r="W98" s="47" t="str">
        <f t="shared" si="350"/>
        <v>Gatilho não atingido</v>
      </c>
      <c r="X98" s="47" t="str">
        <f t="shared" si="350"/>
        <v>Gatilho não atingido</v>
      </c>
      <c r="Y98" s="47" t="str">
        <f t="shared" si="350"/>
        <v>Gatilho não atingido</v>
      </c>
      <c r="Z98" s="47" t="str">
        <f t="shared" si="350"/>
        <v>Gatilho não atingido</v>
      </c>
      <c r="AA98" s="47" t="str">
        <f t="shared" si="350"/>
        <v>Gatilho não atingido</v>
      </c>
      <c r="AB98" s="47" t="str">
        <f t="shared" si="350"/>
        <v>Gatilho não atingido</v>
      </c>
      <c r="AC98" s="47" t="str">
        <f t="shared" ref="AC98:AD98" si="351">IF(AC97&gt;VLOOKUP(AC94,$BV$3:$BX$75,2,0),"Gatilho atingido","Gatilho não atingido")</f>
        <v>Gatilho não atingido</v>
      </c>
      <c r="AD98" s="47" t="str">
        <f t="shared" si="351"/>
        <v>Gatilho não atingido</v>
      </c>
      <c r="AE98" s="47" t="str">
        <f t="shared" ref="AE98:AJ98" si="352">IF(AE97&gt;VLOOKUP(AE94,$BV$3:$BX$75,2,0),"Gatilho atingido","Gatilho não atingido")</f>
        <v>Gatilho não atingido</v>
      </c>
      <c r="AF98" s="47" t="str">
        <f t="shared" si="352"/>
        <v>Gatilho não atingido</v>
      </c>
      <c r="AG98" s="47" t="str">
        <f t="shared" si="352"/>
        <v>Gatilho não atingido</v>
      </c>
      <c r="AH98" s="47" t="str">
        <f t="shared" si="352"/>
        <v>Gatilho não atingido</v>
      </c>
      <c r="AI98" s="47" t="str">
        <f t="shared" si="352"/>
        <v>Gatilho não atingido</v>
      </c>
      <c r="AJ98" s="47" t="str">
        <f t="shared" si="352"/>
        <v>Gatilho não atingido</v>
      </c>
      <c r="AK98" s="47" t="str">
        <f t="shared" ref="AK98:AL98" si="353">IF(AK97&gt;VLOOKUP(AK94,$BV$3:$BX$75,2,0),"Gatilho atingido","Gatilho não atingido")</f>
        <v>Gatilho não atingido</v>
      </c>
      <c r="AL98" s="47" t="str">
        <f t="shared" si="353"/>
        <v>Gatilho não atingido</v>
      </c>
      <c r="AM98" s="47" t="str">
        <f t="shared" ref="AM98:AN98" si="354">IF(AM97&gt;VLOOKUP(AM94,$BV$3:$BX$75,2,0),"Gatilho atingido","Gatilho não atingido")</f>
        <v>Gatilho não atingido</v>
      </c>
      <c r="AN98" s="47" t="str">
        <f t="shared" si="354"/>
        <v>Gatilho não atingido</v>
      </c>
      <c r="AO98" s="47" t="str">
        <f t="shared" ref="AO98:AP98" si="355">IF(AO97&gt;VLOOKUP(AO94,$BV$3:$BX$75,2,0),"Gatilho atingido","Gatilho não atingido")</f>
        <v>Gatilho não atingido</v>
      </c>
      <c r="AP98" s="47" t="str">
        <f t="shared" si="355"/>
        <v>Gatilho não atingido</v>
      </c>
      <c r="AQ98" s="47" t="str">
        <f t="shared" ref="AQ98:AR98" si="356">IF(AQ97&gt;VLOOKUP(AQ94,$BV$3:$BX$75,2,0),"Gatilho atingido","Gatilho não atingido")</f>
        <v>Gatilho não atingido</v>
      </c>
      <c r="AR98" s="47" t="str">
        <f t="shared" si="356"/>
        <v>Gatilho não atingido</v>
      </c>
      <c r="AS98" s="47" t="str">
        <f t="shared" ref="AS98" si="357">IF(AS97&gt;VLOOKUP(AS94,$BV$3:$BX$75,2,0),"Gatilho atingido","Gatilho não atingido")</f>
        <v>Gatilho não atingido</v>
      </c>
    </row>
    <row r="99" spans="2:76" x14ac:dyDescent="0.3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358">IF(Q97&gt;VLOOKUP(Q94,$BV$3:$BX$75,3,0),"Gatilho atingido","Gatilho não atingido")</f>
        <v>Gatilho não atingido</v>
      </c>
      <c r="R99" s="47" t="str">
        <f t="shared" si="358"/>
        <v>Gatilho não atingido</v>
      </c>
      <c r="S99" s="47" t="str">
        <f t="shared" si="358"/>
        <v>Gatilho não atingido</v>
      </c>
      <c r="T99" s="47" t="str">
        <f t="shared" si="358"/>
        <v>Gatilho não atingido</v>
      </c>
      <c r="U99" s="47" t="str">
        <f t="shared" si="358"/>
        <v>Gatilho não atingido</v>
      </c>
      <c r="V99" s="47" t="str">
        <f t="shared" si="358"/>
        <v>Gatilho não atingido</v>
      </c>
      <c r="W99" s="47" t="str">
        <f t="shared" si="358"/>
        <v>Gatilho não atingido</v>
      </c>
      <c r="X99" s="47" t="str">
        <f t="shared" si="358"/>
        <v>Gatilho não atingido</v>
      </c>
      <c r="Y99" s="47" t="str">
        <f t="shared" si="358"/>
        <v>Gatilho não atingido</v>
      </c>
      <c r="Z99" s="47" t="str">
        <f t="shared" si="358"/>
        <v>Gatilho não atingido</v>
      </c>
      <c r="AA99" s="47" t="str">
        <f t="shared" si="358"/>
        <v>Gatilho não atingido</v>
      </c>
      <c r="AB99" s="47" t="str">
        <f t="shared" si="358"/>
        <v>Gatilho não atingido</v>
      </c>
      <c r="AC99" s="47" t="str">
        <f t="shared" ref="AC99:AD99" si="359">IF(AC97&gt;VLOOKUP(AC94,$BV$3:$BX$75,3,0),"Gatilho atingido","Gatilho não atingido")</f>
        <v>Gatilho não atingido</v>
      </c>
      <c r="AD99" s="47" t="str">
        <f t="shared" si="359"/>
        <v>Gatilho não atingido</v>
      </c>
      <c r="AE99" s="47" t="str">
        <f t="shared" ref="AE99:AJ99" si="360">IF(AE97&gt;VLOOKUP(AE94,$BV$3:$BX$75,3,0),"Gatilho atingido","Gatilho não atingido")</f>
        <v>Gatilho não atingido</v>
      </c>
      <c r="AF99" s="47" t="str">
        <f t="shared" si="360"/>
        <v>Gatilho não atingido</v>
      </c>
      <c r="AG99" s="47" t="str">
        <f t="shared" si="360"/>
        <v>Gatilho não atingido</v>
      </c>
      <c r="AH99" s="47" t="str">
        <f t="shared" si="360"/>
        <v>Gatilho não atingido</v>
      </c>
      <c r="AI99" s="47" t="str">
        <f t="shared" si="360"/>
        <v>Gatilho não atingido</v>
      </c>
      <c r="AJ99" s="47" t="str">
        <f t="shared" si="360"/>
        <v>Gatilho não atingido</v>
      </c>
      <c r="AK99" s="47" t="str">
        <f t="shared" ref="AK99:AL99" si="361">IF(AK97&gt;VLOOKUP(AK94,$BV$3:$BX$75,3,0),"Gatilho atingido","Gatilho não atingido")</f>
        <v>Gatilho não atingido</v>
      </c>
      <c r="AL99" s="47" t="str">
        <f t="shared" si="361"/>
        <v>Gatilho não atingido</v>
      </c>
      <c r="AM99" s="47" t="str">
        <f t="shared" ref="AM99:AN99" si="362">IF(AM97&gt;VLOOKUP(AM94,$BV$3:$BX$75,3,0),"Gatilho atingido","Gatilho não atingido")</f>
        <v>Gatilho não atingido</v>
      </c>
      <c r="AN99" s="47" t="str">
        <f t="shared" si="362"/>
        <v>Gatilho não atingido</v>
      </c>
      <c r="AO99" s="47" t="str">
        <f t="shared" ref="AO99:AP99" si="363">IF(AO97&gt;VLOOKUP(AO94,$BV$3:$BX$75,3,0),"Gatilho atingido","Gatilho não atingido")</f>
        <v>Gatilho não atingido</v>
      </c>
      <c r="AP99" s="47" t="str">
        <f t="shared" si="363"/>
        <v>Gatilho não atingido</v>
      </c>
      <c r="AQ99" s="47" t="str">
        <f t="shared" ref="AQ99:AR99" si="364">IF(AQ97&gt;VLOOKUP(AQ94,$BV$3:$BX$75,3,0),"Gatilho atingido","Gatilho não atingido")</f>
        <v>Gatilho não atingido</v>
      </c>
      <c r="AR99" s="47" t="str">
        <f t="shared" si="364"/>
        <v>Gatilho não atingido</v>
      </c>
      <c r="AS99" s="47" t="str">
        <f t="shared" ref="AS99" si="365">IF(AS97&gt;VLOOKUP(AS94,$BV$3:$BX$75,3,0),"Gatilho atingido","Gatilho não atingido")</f>
        <v>Gatilho não atingido</v>
      </c>
    </row>
    <row r="100" spans="2:76" x14ac:dyDescent="0.3">
      <c r="BW100" s="68"/>
      <c r="BX100" s="68"/>
    </row>
    <row r="101" spans="2:76" x14ac:dyDescent="0.3">
      <c r="F101" s="13"/>
      <c r="G101" s="98" t="s">
        <v>116</v>
      </c>
      <c r="H101" s="98"/>
      <c r="I101" s="98"/>
      <c r="J101" s="98"/>
      <c r="K101" s="98"/>
      <c r="L101" s="98"/>
      <c r="M101" s="98"/>
      <c r="N101" s="98"/>
      <c r="O101" s="98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2:76" x14ac:dyDescent="0.3">
      <c r="F102" s="38" t="s">
        <v>170</v>
      </c>
      <c r="G102" s="39">
        <v>43770</v>
      </c>
      <c r="H102" s="39">
        <f t="shared" ref="H102" si="366">EDATE(G102,1)</f>
        <v>43800</v>
      </c>
      <c r="I102" s="39">
        <f t="shared" ref="I102" si="367">EDATE(H102,1)</f>
        <v>43831</v>
      </c>
      <c r="J102" s="39">
        <f t="shared" ref="J102" si="368">EDATE(I102,1)</f>
        <v>43862</v>
      </c>
      <c r="K102" s="39">
        <f t="shared" ref="K102" si="369">EDATE(J102,1)</f>
        <v>43891</v>
      </c>
      <c r="L102" s="39">
        <f t="shared" ref="L102" si="370">EDATE(K102,1)</f>
        <v>43922</v>
      </c>
      <c r="M102" s="39">
        <f t="shared" ref="M102" si="371">EDATE(L102,1)</f>
        <v>43952</v>
      </c>
      <c r="N102" s="39">
        <f t="shared" ref="N102" si="372">EDATE(M102,1)</f>
        <v>43983</v>
      </c>
      <c r="O102" s="39">
        <f t="shared" ref="O102" si="373">EDATE(N102,1)</f>
        <v>44013</v>
      </c>
      <c r="P102" s="39">
        <f t="shared" ref="P102:U102" si="374">EDATE(O102,1)</f>
        <v>44044</v>
      </c>
      <c r="Q102" s="39">
        <f t="shared" si="374"/>
        <v>44075</v>
      </c>
      <c r="R102" s="39">
        <f t="shared" si="374"/>
        <v>44105</v>
      </c>
      <c r="S102" s="39">
        <f t="shared" si="374"/>
        <v>44136</v>
      </c>
      <c r="T102" s="39">
        <f t="shared" si="374"/>
        <v>44166</v>
      </c>
      <c r="U102" s="39">
        <f t="shared" si="374"/>
        <v>44197</v>
      </c>
      <c r="V102" s="39">
        <f t="shared" ref="V102:AS102" si="375">EDATE(U102,1)</f>
        <v>44228</v>
      </c>
      <c r="W102" s="39">
        <f t="shared" si="375"/>
        <v>44256</v>
      </c>
      <c r="X102" s="39">
        <f t="shared" si="375"/>
        <v>44287</v>
      </c>
      <c r="Y102" s="39">
        <f t="shared" si="375"/>
        <v>44317</v>
      </c>
      <c r="Z102" s="39">
        <f t="shared" si="375"/>
        <v>44348</v>
      </c>
      <c r="AA102" s="39">
        <f t="shared" si="375"/>
        <v>44378</v>
      </c>
      <c r="AB102" s="39">
        <f t="shared" si="375"/>
        <v>44409</v>
      </c>
      <c r="AC102" s="39">
        <f t="shared" si="375"/>
        <v>44440</v>
      </c>
      <c r="AD102" s="39">
        <f t="shared" si="375"/>
        <v>44470</v>
      </c>
      <c r="AE102" s="39">
        <f t="shared" si="375"/>
        <v>44501</v>
      </c>
      <c r="AF102" s="39">
        <f t="shared" si="375"/>
        <v>44531</v>
      </c>
      <c r="AG102" s="39">
        <f t="shared" si="375"/>
        <v>44562</v>
      </c>
      <c r="AH102" s="39">
        <f t="shared" si="375"/>
        <v>44593</v>
      </c>
      <c r="AI102" s="39">
        <f t="shared" si="375"/>
        <v>44621</v>
      </c>
      <c r="AJ102" s="39">
        <f t="shared" si="375"/>
        <v>44652</v>
      </c>
      <c r="AK102" s="39">
        <f t="shared" si="375"/>
        <v>44682</v>
      </c>
      <c r="AL102" s="39">
        <f t="shared" si="375"/>
        <v>44713</v>
      </c>
      <c r="AM102" s="39">
        <f t="shared" si="375"/>
        <v>44743</v>
      </c>
      <c r="AN102" s="39">
        <f t="shared" si="375"/>
        <v>44774</v>
      </c>
      <c r="AO102" s="39">
        <f t="shared" si="375"/>
        <v>44805</v>
      </c>
      <c r="AP102" s="39">
        <f t="shared" si="375"/>
        <v>44835</v>
      </c>
      <c r="AQ102" s="39">
        <f t="shared" si="375"/>
        <v>44866</v>
      </c>
      <c r="AR102" s="39">
        <f t="shared" si="375"/>
        <v>44896</v>
      </c>
      <c r="AS102" s="39">
        <f t="shared" si="375"/>
        <v>44927</v>
      </c>
    </row>
    <row r="103" spans="2:76" x14ac:dyDescent="0.3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S103" si="376">R103+1</f>
        <v>2</v>
      </c>
      <c r="T103" s="50">
        <f t="shared" si="376"/>
        <v>3</v>
      </c>
      <c r="U103" s="50">
        <f t="shared" si="376"/>
        <v>4</v>
      </c>
      <c r="V103" s="50">
        <f t="shared" si="376"/>
        <v>5</v>
      </c>
      <c r="W103" s="50">
        <f t="shared" si="376"/>
        <v>6</v>
      </c>
      <c r="X103" s="50">
        <f t="shared" si="376"/>
        <v>7</v>
      </c>
      <c r="Y103" s="50">
        <f t="shared" si="376"/>
        <v>8</v>
      </c>
      <c r="Z103" s="50">
        <f t="shared" si="376"/>
        <v>9</v>
      </c>
      <c r="AA103" s="50">
        <f t="shared" si="376"/>
        <v>10</v>
      </c>
      <c r="AB103" s="50">
        <f t="shared" si="376"/>
        <v>11</v>
      </c>
      <c r="AC103" s="50">
        <f t="shared" si="376"/>
        <v>12</v>
      </c>
      <c r="AD103" s="50">
        <f t="shared" si="376"/>
        <v>13</v>
      </c>
      <c r="AE103" s="50">
        <f t="shared" si="376"/>
        <v>14</v>
      </c>
      <c r="AF103" s="50">
        <f t="shared" si="376"/>
        <v>15</v>
      </c>
      <c r="AG103" s="50">
        <f t="shared" si="376"/>
        <v>16</v>
      </c>
      <c r="AH103" s="50">
        <f t="shared" si="376"/>
        <v>17</v>
      </c>
      <c r="AI103" s="50">
        <f t="shared" si="376"/>
        <v>18</v>
      </c>
      <c r="AJ103" s="50">
        <f t="shared" si="376"/>
        <v>19</v>
      </c>
      <c r="AK103" s="50">
        <f t="shared" si="376"/>
        <v>20</v>
      </c>
      <c r="AL103" s="50">
        <f t="shared" si="376"/>
        <v>21</v>
      </c>
      <c r="AM103" s="50">
        <f t="shared" si="376"/>
        <v>22</v>
      </c>
      <c r="AN103" s="50">
        <f t="shared" si="376"/>
        <v>23</v>
      </c>
      <c r="AO103" s="50">
        <f t="shared" si="376"/>
        <v>24</v>
      </c>
      <c r="AP103" s="50">
        <f t="shared" si="376"/>
        <v>25</v>
      </c>
      <c r="AQ103" s="50">
        <f t="shared" si="376"/>
        <v>26</v>
      </c>
      <c r="AR103" s="50">
        <f t="shared" si="376"/>
        <v>27</v>
      </c>
      <c r="AS103" s="50">
        <f t="shared" si="376"/>
        <v>28</v>
      </c>
    </row>
    <row r="104" spans="2:76" x14ac:dyDescent="0.3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v>4246830.498211002</v>
      </c>
      <c r="AO104" s="21">
        <v>4257654.1883079987</v>
      </c>
      <c r="AP104" s="21">
        <v>4269083.1095359996</v>
      </c>
      <c r="AQ104" s="21">
        <v>4405682.5225340007</v>
      </c>
      <c r="AR104" s="21">
        <v>4535267.456778001</v>
      </c>
      <c r="AS104" s="21">
        <f>SUM('Capa Final'!$N$37:$N$38)+SUM('Capa Final'!$N$46:$N$47)</f>
        <v>4606677.0364870001</v>
      </c>
      <c r="AT104" s="46"/>
    </row>
    <row r="105" spans="2:76" x14ac:dyDescent="0.3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v>188568.598948</v>
      </c>
      <c r="AO105" s="21">
        <v>145828.22023199999</v>
      </c>
      <c r="AP105" s="21">
        <v>71312.932229999991</v>
      </c>
      <c r="AQ105" s="21">
        <v>148467.59218399998</v>
      </c>
      <c r="AR105" s="21">
        <v>141573.2205</v>
      </c>
      <c r="AS105" s="21">
        <f>'Capa Final'!$N$37+'Capa Final'!$N$46</f>
        <v>77249.319606999998</v>
      </c>
      <c r="AT105" s="46"/>
    </row>
    <row r="106" spans="2:76" x14ac:dyDescent="0.3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377">X104/$B$15</f>
        <v>6.6698870567576648E-3</v>
      </c>
      <c r="Y106" s="47">
        <f t="shared" si="377"/>
        <v>1.0843428583943202E-2</v>
      </c>
      <c r="Z106" s="47">
        <f t="shared" si="377"/>
        <v>1.4695662085907986E-2</v>
      </c>
      <c r="AA106" s="47">
        <f t="shared" si="377"/>
        <v>1.4155079031436096E-2</v>
      </c>
      <c r="AB106" s="47">
        <f t="shared" si="377"/>
        <v>1.8145672345430228E-2</v>
      </c>
      <c r="AC106" s="47">
        <f t="shared" si="377"/>
        <v>2.0767469058194064E-2</v>
      </c>
      <c r="AD106" s="47">
        <f t="shared" ref="AD106:AE106" si="378">AD104/$B$15</f>
        <v>2.4038016088618424E-2</v>
      </c>
      <c r="AE106" s="47">
        <f t="shared" si="378"/>
        <v>2.5751747910187636E-2</v>
      </c>
      <c r="AF106" s="47">
        <f t="shared" ref="AF106:AG106" si="379">AF104/$B$15</f>
        <v>2.7248621050593648E-2</v>
      </c>
      <c r="AG106" s="47">
        <f t="shared" si="379"/>
        <v>2.9119785553657518E-2</v>
      </c>
      <c r="AH106" s="47">
        <f t="shared" ref="AH106:AI106" si="380">AH104/$B$15</f>
        <v>3.084530260813248E-2</v>
      </c>
      <c r="AI106" s="47">
        <f t="shared" si="380"/>
        <v>3.2114259198156823E-2</v>
      </c>
      <c r="AJ106" s="47">
        <f t="shared" ref="AJ106:AK106" si="381">AJ104/$B$15</f>
        <v>3.2903937519020605E-2</v>
      </c>
      <c r="AK106" s="47">
        <f t="shared" si="381"/>
        <v>3.3778177385213576E-2</v>
      </c>
      <c r="AL106" s="47">
        <f t="shared" ref="AL106:AM106" si="382">AL104/$B$15</f>
        <v>3.5139547208532816E-2</v>
      </c>
      <c r="AM106" s="47">
        <f t="shared" si="382"/>
        <v>3.6622251051876026E-2</v>
      </c>
      <c r="AN106" s="47">
        <f t="shared" ref="AN106:AO106" si="383">AN104/$B$15</f>
        <v>3.4253984682711777E-2</v>
      </c>
      <c r="AO106" s="47">
        <f t="shared" si="383"/>
        <v>3.4341286145520129E-2</v>
      </c>
      <c r="AP106" s="47">
        <f t="shared" ref="AP106:AQ106" si="384">AP104/$B$15</f>
        <v>3.4433469267226721E-2</v>
      </c>
      <c r="AQ106" s="47">
        <f t="shared" si="384"/>
        <v>3.5535249571967409E-2</v>
      </c>
      <c r="AR106" s="47">
        <f t="shared" ref="AR106:AS106" si="385">AR104/$B$15</f>
        <v>3.6580452660382186E-2</v>
      </c>
      <c r="AS106" s="47">
        <f t="shared" si="385"/>
        <v>3.7156426354312599E-2</v>
      </c>
      <c r="AT106" s="46"/>
    </row>
    <row r="107" spans="2:76" x14ac:dyDescent="0.3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386">IF(R106&gt;VLOOKUP(R103,$BV$3:$BX$75,2,0),"Gatilho atingido","Gatilho não atingido")</f>
        <v>#DIV/0!</v>
      </c>
      <c r="S107" s="47" t="e">
        <f t="shared" si="386"/>
        <v>#DIV/0!</v>
      </c>
      <c r="T107" s="47" t="e">
        <f t="shared" si="386"/>
        <v>#DIV/0!</v>
      </c>
      <c r="U107" s="47" t="str">
        <f t="shared" si="386"/>
        <v>Gatilho não atingido</v>
      </c>
      <c r="V107" s="47" t="str">
        <f t="shared" si="386"/>
        <v>Gatilho não atingido</v>
      </c>
      <c r="W107" s="47" t="str">
        <f t="shared" si="386"/>
        <v>Gatilho não atingido</v>
      </c>
      <c r="X107" s="47" t="str">
        <f t="shared" si="386"/>
        <v>Gatilho não atingido</v>
      </c>
      <c r="Y107" s="47" t="str">
        <f t="shared" si="386"/>
        <v>Gatilho não atingido</v>
      </c>
      <c r="Z107" s="47" t="str">
        <f t="shared" si="386"/>
        <v>Gatilho não atingido</v>
      </c>
      <c r="AA107" s="47" t="str">
        <f t="shared" si="386"/>
        <v>Gatilho não atingido</v>
      </c>
      <c r="AB107" s="47" t="str">
        <f t="shared" si="386"/>
        <v>Gatilho não atingido</v>
      </c>
      <c r="AC107" s="47" t="str">
        <f t="shared" ref="AC107:AD107" si="387">IF(AC106&gt;VLOOKUP(AC103,$BV$3:$BX$75,2,0),"Gatilho atingido","Gatilho não atingido")</f>
        <v>Gatilho não atingido</v>
      </c>
      <c r="AD107" s="47" t="str">
        <f t="shared" si="387"/>
        <v>Gatilho não atingido</v>
      </c>
      <c r="AE107" s="47" t="str">
        <f t="shared" ref="AE107:AF107" si="388">IF(AE106&gt;VLOOKUP(AE103,$BV$3:$BX$75,2,0),"Gatilho atingido","Gatilho não atingido")</f>
        <v>Gatilho não atingido</v>
      </c>
      <c r="AF107" s="47" t="str">
        <f t="shared" si="388"/>
        <v>Gatilho não atingido</v>
      </c>
      <c r="AG107" s="47" t="str">
        <f t="shared" ref="AG107:AH107" si="389">IF(AG106&gt;VLOOKUP(AG103,$BV$3:$BX$75,2,0),"Gatilho atingido","Gatilho não atingido")</f>
        <v>Gatilho não atingido</v>
      </c>
      <c r="AH107" s="47" t="str">
        <f t="shared" si="389"/>
        <v>Gatilho não atingido</v>
      </c>
      <c r="AI107" s="47" t="str">
        <f t="shared" ref="AI107:AJ107" si="390">IF(AI106&gt;VLOOKUP(AI103,$BV$3:$BX$75,2,0),"Gatilho atingido","Gatilho não atingido")</f>
        <v>Gatilho não atingido</v>
      </c>
      <c r="AJ107" s="47" t="str">
        <f t="shared" si="390"/>
        <v>Gatilho não atingido</v>
      </c>
      <c r="AK107" s="47" t="str">
        <f t="shared" ref="AK107:AL107" si="391">IF(AK106&gt;VLOOKUP(AK103,$BV$3:$BX$75,2,0),"Gatilho atingido","Gatilho não atingido")</f>
        <v>Gatilho não atingido</v>
      </c>
      <c r="AL107" s="47" t="str">
        <f t="shared" si="391"/>
        <v>Gatilho não atingido</v>
      </c>
      <c r="AM107" s="47" t="str">
        <f t="shared" ref="AM107:AN107" si="392">IF(AM106&gt;VLOOKUP(AM103,$BV$3:$BX$75,2,0),"Gatilho atingido","Gatilho não atingido")</f>
        <v>Gatilho não atingido</v>
      </c>
      <c r="AN107" s="47" t="str">
        <f t="shared" si="392"/>
        <v>Gatilho não atingido</v>
      </c>
      <c r="AO107" s="47" t="str">
        <f t="shared" ref="AO107:AP107" si="393">IF(AO106&gt;VLOOKUP(AO103,$BV$3:$BX$75,2,0),"Gatilho atingido","Gatilho não atingido")</f>
        <v>Gatilho não atingido</v>
      </c>
      <c r="AP107" s="47" t="str">
        <f t="shared" si="393"/>
        <v>Gatilho não atingido</v>
      </c>
      <c r="AQ107" s="47" t="str">
        <f t="shared" ref="AQ107:AR107" si="394">IF(AQ106&gt;VLOOKUP(AQ103,$BV$3:$BX$75,2,0),"Gatilho atingido","Gatilho não atingido")</f>
        <v>Gatilho não atingido</v>
      </c>
      <c r="AR107" s="47" t="str">
        <f t="shared" si="394"/>
        <v>Gatilho não atingido</v>
      </c>
      <c r="AS107" s="47" t="str">
        <f t="shared" ref="AS107" si="395">IF(AS106&gt;VLOOKUP(AS103,$BV$3:$BX$75,2,0),"Gatilho atingido","Gatilho não atingido")</f>
        <v>Gatilho não atingido</v>
      </c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2:76" x14ac:dyDescent="0.3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396">IF(R106&gt;VLOOKUP(R103,$BV$3:$BX$75,3,0),"Gatilho atingido","Gatilho não atingido")</f>
        <v>#DIV/0!</v>
      </c>
      <c r="S108" s="47" t="e">
        <f t="shared" si="396"/>
        <v>#DIV/0!</v>
      </c>
      <c r="T108" s="47" t="e">
        <f t="shared" si="396"/>
        <v>#DIV/0!</v>
      </c>
      <c r="U108" s="47" t="str">
        <f t="shared" si="396"/>
        <v>Gatilho não atingido</v>
      </c>
      <c r="V108" s="47" t="str">
        <f t="shared" si="396"/>
        <v>Gatilho não atingido</v>
      </c>
      <c r="W108" s="47" t="str">
        <f t="shared" si="396"/>
        <v>Gatilho não atingido</v>
      </c>
      <c r="X108" s="47" t="str">
        <f t="shared" si="396"/>
        <v>Gatilho não atingido</v>
      </c>
      <c r="Y108" s="47" t="str">
        <f t="shared" si="396"/>
        <v>Gatilho não atingido</v>
      </c>
      <c r="Z108" s="47" t="str">
        <f t="shared" si="396"/>
        <v>Gatilho não atingido</v>
      </c>
      <c r="AA108" s="47" t="str">
        <f t="shared" si="396"/>
        <v>Gatilho não atingido</v>
      </c>
      <c r="AB108" s="47" t="str">
        <f t="shared" si="396"/>
        <v>Gatilho não atingido</v>
      </c>
      <c r="AC108" s="47" t="str">
        <f t="shared" ref="AC108:AD108" si="397">IF(AC106&gt;VLOOKUP(AC103,$BV$3:$BX$75,3,0),"Gatilho atingido","Gatilho não atingido")</f>
        <v>Gatilho não atingido</v>
      </c>
      <c r="AD108" s="47" t="str">
        <f t="shared" si="397"/>
        <v>Gatilho não atingido</v>
      </c>
      <c r="AE108" s="47" t="str">
        <f t="shared" ref="AE108:AF108" si="398">IF(AE106&gt;VLOOKUP(AE103,$BV$3:$BX$75,3,0),"Gatilho atingido","Gatilho não atingido")</f>
        <v>Gatilho não atingido</v>
      </c>
      <c r="AF108" s="47" t="str">
        <f t="shared" si="398"/>
        <v>Gatilho não atingido</v>
      </c>
      <c r="AG108" s="47" t="str">
        <f t="shared" ref="AG108:AH108" si="399">IF(AG106&gt;VLOOKUP(AG103,$BV$3:$BX$75,3,0),"Gatilho atingido","Gatilho não atingido")</f>
        <v>Gatilho não atingido</v>
      </c>
      <c r="AH108" s="47" t="str">
        <f t="shared" si="399"/>
        <v>Gatilho não atingido</v>
      </c>
      <c r="AI108" s="47" t="str">
        <f t="shared" ref="AI108:AJ108" si="400">IF(AI106&gt;VLOOKUP(AI103,$BV$3:$BX$75,3,0),"Gatilho atingido","Gatilho não atingido")</f>
        <v>Gatilho não atingido</v>
      </c>
      <c r="AJ108" s="47" t="str">
        <f t="shared" si="400"/>
        <v>Gatilho não atingido</v>
      </c>
      <c r="AK108" s="47" t="str">
        <f t="shared" ref="AK108:AL108" si="401">IF(AK106&gt;VLOOKUP(AK103,$BV$3:$BX$75,3,0),"Gatilho atingido","Gatilho não atingido")</f>
        <v>Gatilho não atingido</v>
      </c>
      <c r="AL108" s="47" t="str">
        <f t="shared" si="401"/>
        <v>Gatilho não atingido</v>
      </c>
      <c r="AM108" s="47" t="str">
        <f t="shared" ref="AM108:AN108" si="402">IF(AM106&gt;VLOOKUP(AM103,$BV$3:$BX$75,3,0),"Gatilho atingido","Gatilho não atingido")</f>
        <v>Gatilho não atingido</v>
      </c>
      <c r="AN108" s="47" t="str">
        <f t="shared" si="402"/>
        <v>Gatilho não atingido</v>
      </c>
      <c r="AO108" s="47" t="str">
        <f t="shared" ref="AO108:AP108" si="403">IF(AO106&gt;VLOOKUP(AO103,$BV$3:$BX$75,3,0),"Gatilho atingido","Gatilho não atingido")</f>
        <v>Gatilho não atingido</v>
      </c>
      <c r="AP108" s="47" t="str">
        <f t="shared" si="403"/>
        <v>Gatilho não atingido</v>
      </c>
      <c r="AQ108" s="47" t="str">
        <f t="shared" ref="AQ108:AR108" si="404">IF(AQ106&gt;VLOOKUP(AQ103,$BV$3:$BX$75,3,0),"Gatilho atingido","Gatilho não atingido")</f>
        <v>Gatilho não atingido</v>
      </c>
      <c r="AR108" s="47" t="str">
        <f t="shared" si="404"/>
        <v>Gatilho não atingido</v>
      </c>
      <c r="AS108" s="47" t="str">
        <f t="shared" ref="AS108" si="405">IF(AS106&gt;VLOOKUP(AS103,$BV$3:$BX$75,3,0),"Gatilho atingido","Gatilho não atingido")</f>
        <v>Gatilho não atingido</v>
      </c>
    </row>
    <row r="110" spans="2:76" x14ac:dyDescent="0.3">
      <c r="F110" s="13"/>
      <c r="G110" s="98" t="s">
        <v>116</v>
      </c>
      <c r="H110" s="98"/>
      <c r="I110" s="98"/>
      <c r="J110" s="98"/>
      <c r="K110" s="98"/>
      <c r="L110" s="98"/>
      <c r="M110" s="98"/>
      <c r="N110" s="98"/>
      <c r="O110" s="98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2:76" x14ac:dyDescent="0.3">
      <c r="F111" s="38" t="s">
        <v>181</v>
      </c>
      <c r="G111" s="39">
        <v>43770</v>
      </c>
      <c r="H111" s="39">
        <f t="shared" ref="H111" si="406">EDATE(G111,1)</f>
        <v>43800</v>
      </c>
      <c r="I111" s="39">
        <f t="shared" ref="I111" si="407">EDATE(H111,1)</f>
        <v>43831</v>
      </c>
      <c r="J111" s="39">
        <f t="shared" ref="J111" si="408">EDATE(I111,1)</f>
        <v>43862</v>
      </c>
      <c r="K111" s="39">
        <f t="shared" ref="K111" si="409">EDATE(J111,1)</f>
        <v>43891</v>
      </c>
      <c r="L111" s="39">
        <f t="shared" ref="L111" si="410">EDATE(K111,1)</f>
        <v>43922</v>
      </c>
      <c r="M111" s="39">
        <f t="shared" ref="M111" si="411">EDATE(L111,1)</f>
        <v>43952</v>
      </c>
      <c r="N111" s="39">
        <f t="shared" ref="N111" si="412">EDATE(M111,1)</f>
        <v>43983</v>
      </c>
      <c r="O111" s="39">
        <f t="shared" ref="O111" si="413">EDATE(N111,1)</f>
        <v>44013</v>
      </c>
      <c r="P111" s="39">
        <f t="shared" ref="P111" si="414">EDATE(O111,1)</f>
        <v>44044</v>
      </c>
      <c r="Q111" s="39">
        <f t="shared" ref="Q111" si="415">EDATE(P111,1)</f>
        <v>44075</v>
      </c>
      <c r="R111" s="39">
        <f t="shared" ref="R111" si="416">EDATE(Q111,1)</f>
        <v>44105</v>
      </c>
      <c r="S111" s="39">
        <f t="shared" ref="S111" si="417">EDATE(R111,1)</f>
        <v>44136</v>
      </c>
      <c r="T111" s="39">
        <f t="shared" ref="T111" si="418">EDATE(S111,1)</f>
        <v>44166</v>
      </c>
      <c r="U111" s="39">
        <f t="shared" ref="U111" si="419">EDATE(T111,1)</f>
        <v>44197</v>
      </c>
      <c r="V111" s="39">
        <f t="shared" ref="V111" si="420">EDATE(U111,1)</f>
        <v>44228</v>
      </c>
      <c r="W111" s="39">
        <f t="shared" ref="W111" si="421">EDATE(V111,1)</f>
        <v>44256</v>
      </c>
      <c r="X111" s="39">
        <f t="shared" ref="X111:AS111" si="422">EDATE(W111,1)</f>
        <v>44287</v>
      </c>
      <c r="Y111" s="39">
        <f t="shared" si="422"/>
        <v>44317</v>
      </c>
      <c r="Z111" s="39">
        <f t="shared" si="422"/>
        <v>44348</v>
      </c>
      <c r="AA111" s="39">
        <f t="shared" si="422"/>
        <v>44378</v>
      </c>
      <c r="AB111" s="39">
        <f t="shared" si="422"/>
        <v>44409</v>
      </c>
      <c r="AC111" s="39">
        <f t="shared" si="422"/>
        <v>44440</v>
      </c>
      <c r="AD111" s="39">
        <f t="shared" si="422"/>
        <v>44470</v>
      </c>
      <c r="AE111" s="39">
        <f t="shared" si="422"/>
        <v>44501</v>
      </c>
      <c r="AF111" s="39">
        <f t="shared" si="422"/>
        <v>44531</v>
      </c>
      <c r="AG111" s="39">
        <f t="shared" si="422"/>
        <v>44562</v>
      </c>
      <c r="AH111" s="39">
        <f t="shared" si="422"/>
        <v>44593</v>
      </c>
      <c r="AI111" s="39">
        <f t="shared" si="422"/>
        <v>44621</v>
      </c>
      <c r="AJ111" s="39">
        <f t="shared" si="422"/>
        <v>44652</v>
      </c>
      <c r="AK111" s="39">
        <f t="shared" si="422"/>
        <v>44682</v>
      </c>
      <c r="AL111" s="39">
        <f t="shared" si="422"/>
        <v>44713</v>
      </c>
      <c r="AM111" s="39">
        <f t="shared" si="422"/>
        <v>44743</v>
      </c>
      <c r="AN111" s="39">
        <f t="shared" si="422"/>
        <v>44774</v>
      </c>
      <c r="AO111" s="39">
        <f t="shared" si="422"/>
        <v>44805</v>
      </c>
      <c r="AP111" s="39">
        <f t="shared" si="422"/>
        <v>44835</v>
      </c>
      <c r="AQ111" s="39">
        <f t="shared" si="422"/>
        <v>44866</v>
      </c>
      <c r="AR111" s="39">
        <f t="shared" si="422"/>
        <v>44896</v>
      </c>
      <c r="AS111" s="39">
        <f t="shared" si="422"/>
        <v>44927</v>
      </c>
    </row>
    <row r="112" spans="2:76" x14ac:dyDescent="0.3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423">S112+1</f>
        <v>2</v>
      </c>
      <c r="U112" s="50">
        <f t="shared" ref="U112" si="424">T112+1</f>
        <v>3</v>
      </c>
      <c r="V112" s="50">
        <f t="shared" ref="V112" si="425">U112+1</f>
        <v>4</v>
      </c>
      <c r="W112" s="50">
        <f t="shared" ref="W112" si="426">V112+1</f>
        <v>5</v>
      </c>
      <c r="X112" s="50">
        <f t="shared" ref="X112:AS112" si="427">W112+1</f>
        <v>6</v>
      </c>
      <c r="Y112" s="50">
        <f t="shared" si="427"/>
        <v>7</v>
      </c>
      <c r="Z112" s="50">
        <f t="shared" si="427"/>
        <v>8</v>
      </c>
      <c r="AA112" s="50">
        <f t="shared" si="427"/>
        <v>9</v>
      </c>
      <c r="AB112" s="50">
        <f t="shared" si="427"/>
        <v>10</v>
      </c>
      <c r="AC112" s="50">
        <f t="shared" si="427"/>
        <v>11</v>
      </c>
      <c r="AD112" s="50">
        <f t="shared" si="427"/>
        <v>12</v>
      </c>
      <c r="AE112" s="50">
        <f t="shared" si="427"/>
        <v>13</v>
      </c>
      <c r="AF112" s="50">
        <f t="shared" si="427"/>
        <v>14</v>
      </c>
      <c r="AG112" s="50">
        <f t="shared" si="427"/>
        <v>15</v>
      </c>
      <c r="AH112" s="50">
        <f t="shared" si="427"/>
        <v>16</v>
      </c>
      <c r="AI112" s="50">
        <f t="shared" si="427"/>
        <v>17</v>
      </c>
      <c r="AJ112" s="50">
        <f t="shared" si="427"/>
        <v>18</v>
      </c>
      <c r="AK112" s="50">
        <f t="shared" si="427"/>
        <v>19</v>
      </c>
      <c r="AL112" s="50">
        <f t="shared" si="427"/>
        <v>20</v>
      </c>
      <c r="AM112" s="50">
        <f t="shared" si="427"/>
        <v>21</v>
      </c>
      <c r="AN112" s="50">
        <f t="shared" si="427"/>
        <v>22</v>
      </c>
      <c r="AO112" s="50">
        <f t="shared" si="427"/>
        <v>23</v>
      </c>
      <c r="AP112" s="50">
        <f t="shared" si="427"/>
        <v>24</v>
      </c>
      <c r="AQ112" s="50">
        <f t="shared" si="427"/>
        <v>25</v>
      </c>
      <c r="AR112" s="50">
        <f t="shared" si="427"/>
        <v>26</v>
      </c>
      <c r="AS112" s="50">
        <f t="shared" si="427"/>
        <v>27</v>
      </c>
      <c r="BW112" s="68"/>
      <c r="BX112" s="68"/>
    </row>
    <row r="113" spans="2:76" x14ac:dyDescent="0.3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v>897676.97383199981</v>
      </c>
      <c r="AO113" s="21">
        <v>874732.82199299987</v>
      </c>
      <c r="AP113" s="21">
        <v>872679.1814</v>
      </c>
      <c r="AQ113" s="21">
        <v>889986.90107299993</v>
      </c>
      <c r="AR113" s="21">
        <v>880149.6220819999</v>
      </c>
      <c r="AS113" s="21">
        <f>SUM('Capa Final'!$O$37:$O$38)+SUM('Capa Final'!$O$46:$O$47)</f>
        <v>890336.97163100005</v>
      </c>
      <c r="AT113" s="46"/>
    </row>
    <row r="114" spans="2:76" x14ac:dyDescent="0.3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v>13341.290145000001</v>
      </c>
      <c r="AO114" s="21">
        <v>16025</v>
      </c>
      <c r="AP114" s="21">
        <v>0</v>
      </c>
      <c r="AQ114" s="21">
        <v>14511.23459</v>
      </c>
      <c r="AR114" s="21">
        <v>0</v>
      </c>
      <c r="AS114" s="21">
        <f>'Capa Final'!$O$37+'Capa Final'!$O$46</f>
        <v>7751.6630420000001</v>
      </c>
      <c r="AT114" s="46"/>
    </row>
    <row r="115" spans="2:76" x14ac:dyDescent="0.3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428">U113/$B$16</f>
        <v>2.0143336872226751E-3</v>
      </c>
      <c r="V115" s="47">
        <f t="shared" si="428"/>
        <v>2.0366769857253723E-3</v>
      </c>
      <c r="W115" s="47">
        <f t="shared" si="428"/>
        <v>6.9854530982875352E-3</v>
      </c>
      <c r="X115" s="47">
        <f t="shared" si="428"/>
        <v>4.128179645189866E-3</v>
      </c>
      <c r="Y115" s="47">
        <f t="shared" si="428"/>
        <v>7.0519011445316186E-3</v>
      </c>
      <c r="Z115" s="47">
        <f t="shared" si="428"/>
        <v>7.6163602779644145E-3</v>
      </c>
      <c r="AA115" s="47">
        <f t="shared" ref="AA115:AB115" si="429">AA113/$B$16</f>
        <v>1.1164296923180017E-2</v>
      </c>
      <c r="AB115" s="47">
        <f t="shared" si="429"/>
        <v>1.4036536088945147E-2</v>
      </c>
      <c r="AC115" s="47">
        <f t="shared" ref="AC115:AD115" si="430">AC113/$B$16</f>
        <v>1.8470113730723551E-2</v>
      </c>
      <c r="AD115" s="47">
        <f t="shared" si="430"/>
        <v>2.199958160954623E-2</v>
      </c>
      <c r="AE115" s="47">
        <f t="shared" ref="AE115:AF115" si="431">AE113/$B$16</f>
        <v>2.1662592467683317E-2</v>
      </c>
      <c r="AF115" s="47">
        <f t="shared" si="431"/>
        <v>2.4789470099583939E-2</v>
      </c>
      <c r="AG115" s="47">
        <f t="shared" ref="AG115:AH115" si="432">AG113/$B$16</f>
        <v>2.8980585685134893E-2</v>
      </c>
      <c r="AH115" s="47">
        <f t="shared" si="432"/>
        <v>2.9109546772868509E-2</v>
      </c>
      <c r="AI115" s="47">
        <f t="shared" ref="AI115:AJ115" si="433">AI113/$B$16</f>
        <v>2.9795939210655702E-2</v>
      </c>
      <c r="AJ115" s="47">
        <f t="shared" si="433"/>
        <v>3.1819006137942182E-2</v>
      </c>
      <c r="AK115" s="47">
        <f t="shared" ref="AK115:AL115" si="434">AK113/$B$16</f>
        <v>3.2019413709986393E-2</v>
      </c>
      <c r="AL115" s="47">
        <f t="shared" si="434"/>
        <v>3.3561251516312514E-2</v>
      </c>
      <c r="AM115" s="47">
        <f t="shared" ref="AM115:AN115" si="435">AM113/$B$16</f>
        <v>3.4519585237427264E-2</v>
      </c>
      <c r="AN115" s="47">
        <f t="shared" si="435"/>
        <v>3.4691137917524553E-2</v>
      </c>
      <c r="AO115" s="47">
        <f t="shared" ref="AO115:AP115" si="436">AO113/$B$16</f>
        <v>3.3804450658020076E-2</v>
      </c>
      <c r="AP115" s="47">
        <f t="shared" si="436"/>
        <v>3.3725086776443987E-2</v>
      </c>
      <c r="AQ115" s="47">
        <f t="shared" ref="AQ115:AR115" si="437">AQ113/$B$16</f>
        <v>3.4393951532605438E-2</v>
      </c>
      <c r="AR115" s="47">
        <f t="shared" si="437"/>
        <v>3.4013785379124695E-2</v>
      </c>
      <c r="AS115" s="47">
        <f t="shared" ref="AS115" si="438">AS113/$B$16</f>
        <v>3.4407480169701486E-2</v>
      </c>
    </row>
    <row r="116" spans="2:76" x14ac:dyDescent="0.3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439">IF(S115&gt;VLOOKUP(S112,$BV$3:$BX$75,2,0),"Gatilho atingido","Gatilho não atingido")</f>
        <v>#DIV/0!</v>
      </c>
      <c r="T116" s="47" t="e">
        <f t="shared" si="439"/>
        <v>#DIV/0!</v>
      </c>
      <c r="U116" s="47" t="str">
        <f t="shared" si="439"/>
        <v>Gatilho não atingido</v>
      </c>
      <c r="V116" s="47" t="str">
        <f t="shared" si="439"/>
        <v>Gatilho não atingido</v>
      </c>
      <c r="W116" s="47" t="str">
        <f t="shared" si="439"/>
        <v>Gatilho não atingido</v>
      </c>
      <c r="X116" s="47" t="str">
        <f t="shared" si="439"/>
        <v>Gatilho não atingido</v>
      </c>
      <c r="Y116" s="47" t="str">
        <f t="shared" si="439"/>
        <v>Gatilho não atingido</v>
      </c>
      <c r="Z116" s="47" t="str">
        <f t="shared" si="439"/>
        <v>Gatilho não atingido</v>
      </c>
      <c r="AA116" s="47" t="str">
        <f t="shared" si="439"/>
        <v>Gatilho não atingido</v>
      </c>
      <c r="AB116" s="47" t="str">
        <f t="shared" si="439"/>
        <v>Gatilho não atingido</v>
      </c>
      <c r="AC116" s="47" t="str">
        <f t="shared" ref="AC116:AD116" si="440">IF(AC115&gt;VLOOKUP(AC112,$BV$3:$BX$75,2,0),"Gatilho atingido","Gatilho não atingido")</f>
        <v>Gatilho não atingido</v>
      </c>
      <c r="AD116" s="47" t="str">
        <f t="shared" si="440"/>
        <v>Gatilho não atingido</v>
      </c>
      <c r="AE116" s="47" t="str">
        <f t="shared" ref="AE116:AF116" si="441">IF(AE115&gt;VLOOKUP(AE112,$BV$3:$BX$75,2,0),"Gatilho atingido","Gatilho não atingido")</f>
        <v>Gatilho não atingido</v>
      </c>
      <c r="AF116" s="47" t="str">
        <f t="shared" si="441"/>
        <v>Gatilho não atingido</v>
      </c>
      <c r="AG116" s="47" t="str">
        <f t="shared" ref="AG116:AH116" si="442">IF(AG115&gt;VLOOKUP(AG112,$BV$3:$BX$75,2,0),"Gatilho atingido","Gatilho não atingido")</f>
        <v>Gatilho não atingido</v>
      </c>
      <c r="AH116" s="47" t="str">
        <f t="shared" si="442"/>
        <v>Gatilho não atingido</v>
      </c>
      <c r="AI116" s="47" t="str">
        <f t="shared" ref="AI116:AJ116" si="443">IF(AI115&gt;VLOOKUP(AI112,$BV$3:$BX$75,2,0),"Gatilho atingido","Gatilho não atingido")</f>
        <v>Gatilho não atingido</v>
      </c>
      <c r="AJ116" s="47" t="str">
        <f t="shared" si="443"/>
        <v>Gatilho não atingido</v>
      </c>
      <c r="AK116" s="47" t="str">
        <f t="shared" ref="AK116:AL116" si="444">IF(AK115&gt;VLOOKUP(AK112,$BV$3:$BX$75,2,0),"Gatilho atingido","Gatilho não atingido")</f>
        <v>Gatilho não atingido</v>
      </c>
      <c r="AL116" s="47" t="str">
        <f t="shared" si="444"/>
        <v>Gatilho não atingido</v>
      </c>
      <c r="AM116" s="47" t="str">
        <f t="shared" ref="AM116:AN116" si="445">IF(AM115&gt;VLOOKUP(AM112,$BV$3:$BX$75,2,0),"Gatilho atingido","Gatilho não atingido")</f>
        <v>Gatilho não atingido</v>
      </c>
      <c r="AN116" s="47" t="str">
        <f t="shared" si="445"/>
        <v>Gatilho não atingido</v>
      </c>
      <c r="AO116" s="47" t="str">
        <f t="shared" ref="AO116:AP116" si="446">IF(AO115&gt;VLOOKUP(AO112,$BV$3:$BX$75,2,0),"Gatilho atingido","Gatilho não atingido")</f>
        <v>Gatilho não atingido</v>
      </c>
      <c r="AP116" s="47" t="str">
        <f t="shared" si="446"/>
        <v>Gatilho não atingido</v>
      </c>
      <c r="AQ116" s="47" t="str">
        <f t="shared" ref="AQ116:AR116" si="447">IF(AQ115&gt;VLOOKUP(AQ112,$BV$3:$BX$75,2,0),"Gatilho atingido","Gatilho não atingido")</f>
        <v>Gatilho não atingido</v>
      </c>
      <c r="AR116" s="47" t="str">
        <f t="shared" si="447"/>
        <v>Gatilho não atingido</v>
      </c>
      <c r="AS116" s="47" t="str">
        <f t="shared" ref="AS116" si="448">IF(AS115&gt;VLOOKUP(AS112,$BV$3:$BX$75,2,0),"Gatilho atingido","Gatilho não atingido")</f>
        <v>Gatilho não atingido</v>
      </c>
    </row>
    <row r="117" spans="2:76" x14ac:dyDescent="0.3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449">IF(S115&gt;VLOOKUP(S112,$BV$3:$BX$75,3,0),"Gatilho atingido","Gatilho não atingido")</f>
        <v>#DIV/0!</v>
      </c>
      <c r="T117" s="47" t="e">
        <f t="shared" si="449"/>
        <v>#DIV/0!</v>
      </c>
      <c r="U117" s="47" t="str">
        <f t="shared" si="449"/>
        <v>Gatilho não atingido</v>
      </c>
      <c r="V117" s="47" t="str">
        <f t="shared" si="449"/>
        <v>Gatilho não atingido</v>
      </c>
      <c r="W117" s="47" t="str">
        <f t="shared" si="449"/>
        <v>Gatilho não atingido</v>
      </c>
      <c r="X117" s="47" t="str">
        <f t="shared" si="449"/>
        <v>Gatilho não atingido</v>
      </c>
      <c r="Y117" s="47" t="str">
        <f t="shared" si="449"/>
        <v>Gatilho não atingido</v>
      </c>
      <c r="Z117" s="47" t="str">
        <f t="shared" si="449"/>
        <v>Gatilho não atingido</v>
      </c>
      <c r="AA117" s="47" t="str">
        <f t="shared" si="449"/>
        <v>Gatilho não atingido</v>
      </c>
      <c r="AB117" s="47" t="str">
        <f t="shared" si="449"/>
        <v>Gatilho não atingido</v>
      </c>
      <c r="AC117" s="47" t="str">
        <f t="shared" ref="AC117:AD117" si="450">IF(AC115&gt;VLOOKUP(AC112,$BV$3:$BX$75,3,0),"Gatilho atingido","Gatilho não atingido")</f>
        <v>Gatilho não atingido</v>
      </c>
      <c r="AD117" s="47" t="str">
        <f t="shared" si="450"/>
        <v>Gatilho não atingido</v>
      </c>
      <c r="AE117" s="47" t="str">
        <f t="shared" ref="AE117:AF117" si="451">IF(AE115&gt;VLOOKUP(AE112,$BV$3:$BX$75,3,0),"Gatilho atingido","Gatilho não atingido")</f>
        <v>Gatilho não atingido</v>
      </c>
      <c r="AF117" s="47" t="str">
        <f t="shared" si="451"/>
        <v>Gatilho não atingido</v>
      </c>
      <c r="AG117" s="47" t="str">
        <f t="shared" ref="AG117:AH117" si="452">IF(AG115&gt;VLOOKUP(AG112,$BV$3:$BX$75,3,0),"Gatilho atingido","Gatilho não atingido")</f>
        <v>Gatilho não atingido</v>
      </c>
      <c r="AH117" s="47" t="str">
        <f t="shared" si="452"/>
        <v>Gatilho não atingido</v>
      </c>
      <c r="AI117" s="47" t="str">
        <f t="shared" ref="AI117:AJ117" si="453">IF(AI115&gt;VLOOKUP(AI112,$BV$3:$BX$75,3,0),"Gatilho atingido","Gatilho não atingido")</f>
        <v>Gatilho não atingido</v>
      </c>
      <c r="AJ117" s="47" t="str">
        <f t="shared" si="453"/>
        <v>Gatilho não atingido</v>
      </c>
      <c r="AK117" s="47" t="str">
        <f t="shared" ref="AK117:AL117" si="454">IF(AK115&gt;VLOOKUP(AK112,$BV$3:$BX$75,3,0),"Gatilho atingido","Gatilho não atingido")</f>
        <v>Gatilho não atingido</v>
      </c>
      <c r="AL117" s="47" t="str">
        <f t="shared" si="454"/>
        <v>Gatilho não atingido</v>
      </c>
      <c r="AM117" s="47" t="str">
        <f t="shared" ref="AM117:AN117" si="455">IF(AM115&gt;VLOOKUP(AM112,$BV$3:$BX$75,3,0),"Gatilho atingido","Gatilho não atingido")</f>
        <v>Gatilho não atingido</v>
      </c>
      <c r="AN117" s="47" t="str">
        <f t="shared" si="455"/>
        <v>Gatilho não atingido</v>
      </c>
      <c r="AO117" s="47" t="str">
        <f t="shared" ref="AO117:AP117" si="456">IF(AO115&gt;VLOOKUP(AO112,$BV$3:$BX$75,3,0),"Gatilho atingido","Gatilho não atingido")</f>
        <v>Gatilho não atingido</v>
      </c>
      <c r="AP117" s="47" t="str">
        <f t="shared" si="456"/>
        <v>Gatilho não atingido</v>
      </c>
      <c r="AQ117" s="47" t="str">
        <f t="shared" ref="AQ117:AR117" si="457">IF(AQ115&gt;VLOOKUP(AQ112,$BV$3:$BX$75,3,0),"Gatilho atingido","Gatilho não atingido")</f>
        <v>Gatilho não atingido</v>
      </c>
      <c r="AR117" s="47" t="str">
        <f t="shared" si="457"/>
        <v>Gatilho não atingido</v>
      </c>
      <c r="AS117" s="47" t="str">
        <f t="shared" ref="AS117" si="458">IF(AS115&gt;VLOOKUP(AS112,$BV$3:$BX$75,3,0),"Gatilho atingido","Gatilho não atingido")</f>
        <v>Gatilho não atingido</v>
      </c>
    </row>
    <row r="118" spans="2:76" x14ac:dyDescent="0.3">
      <c r="B118" s="43"/>
      <c r="C118" s="78"/>
      <c r="D118" s="43"/>
      <c r="E118" s="44"/>
      <c r="AT118" s="46"/>
    </row>
    <row r="119" spans="2:76" x14ac:dyDescent="0.3"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4" spans="2:76" x14ac:dyDescent="0.3">
      <c r="BW124" s="68"/>
      <c r="BX124" s="68"/>
    </row>
    <row r="130" spans="2:76" x14ac:dyDescent="0.3">
      <c r="B130" s="43"/>
      <c r="C130" s="78"/>
      <c r="D130" s="43"/>
      <c r="E130" s="44"/>
      <c r="AT130" s="46"/>
    </row>
    <row r="131" spans="2:76" x14ac:dyDescent="0.3"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</row>
    <row r="136" spans="2:76" x14ac:dyDescent="0.3">
      <c r="BW136" s="68"/>
      <c r="BX136" s="68"/>
    </row>
    <row r="142" spans="2:76" x14ac:dyDescent="0.3">
      <c r="B142" s="43"/>
      <c r="C142" s="78"/>
      <c r="D142" s="43"/>
      <c r="E142" s="44"/>
      <c r="AT142" s="46"/>
    </row>
    <row r="143" spans="2:76" x14ac:dyDescent="0.3"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</row>
  </sheetData>
  <mergeCells count="14">
    <mergeCell ref="G110:O110"/>
    <mergeCell ref="G38:O38"/>
    <mergeCell ref="G47:O47"/>
    <mergeCell ref="G56:O56"/>
    <mergeCell ref="BV2:BX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Y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Y9">
    <cfRule type="containsText" dxfId="451" priority="449" operator="containsText" text="Gatilho não atingido">
      <formula>NOT(ISERROR(SEARCH("Gatilho não atingido",AY9)))</formula>
    </cfRule>
    <cfRule type="containsText" dxfId="450" priority="450" operator="containsText" text="Gatilho atingido">
      <formula>NOT(ISERROR(SEARCH("Gatilho atingido",AY9)))</formula>
    </cfRule>
    <cfRule type="cellIs" dxfId="449" priority="451" operator="lessThan">
      <formula>0.0525</formula>
    </cfRule>
  </conditionalFormatting>
  <conditionalFormatting sqref="AY10">
    <cfRule type="containsText" dxfId="448" priority="446" operator="containsText" text="Gatilho não atingido">
      <formula>NOT(ISERROR(SEARCH("Gatilho não atingido",AY10)))</formula>
    </cfRule>
    <cfRule type="containsText" dxfId="447" priority="447" operator="containsText" text="Gatilho atingido">
      <formula>NOT(ISERROR(SEARCH("Gatilho atingido",AY10)))</formula>
    </cfRule>
    <cfRule type="cellIs" dxfId="446" priority="448" operator="lessThan">
      <formula>0.0525</formula>
    </cfRule>
  </conditionalFormatting>
  <conditionalFormatting sqref="AY11">
    <cfRule type="containsText" dxfId="445" priority="443" operator="containsText" text="Gatilho não atingido">
      <formula>NOT(ISERROR(SEARCH("Gatilho não atingido",AY11)))</formula>
    </cfRule>
    <cfRule type="containsText" dxfId="444" priority="444" operator="containsText" text="Gatilho atingido">
      <formula>NOT(ISERROR(SEARCH("Gatilho atingido",AY11)))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AZ8">
    <cfRule type="cellIs" dxfId="416" priority="416" operator="lessThan">
      <formula>0.0525</formula>
    </cfRule>
  </conditionalFormatting>
  <conditionalFormatting sqref="AZ9">
    <cfRule type="containsText" dxfId="415" priority="413" operator="containsText" text="Gatilho não atingido">
      <formula>NOT(ISERROR(SEARCH("Gatilho não atingido",AZ9)))</formula>
    </cfRule>
    <cfRule type="containsText" dxfId="414" priority="414" operator="containsText" text="Gatilho atingido">
      <formula>NOT(ISERROR(SEARCH("Gatilho atingido",AZ9)))</formula>
    </cfRule>
    <cfRule type="cellIs" dxfId="413" priority="415" operator="lessThan">
      <formula>0.0525</formula>
    </cfRule>
  </conditionalFormatting>
  <conditionalFormatting sqref="AZ10">
    <cfRule type="containsText" dxfId="412" priority="410" operator="containsText" text="Gatilho não atingido">
      <formula>NOT(ISERROR(SEARCH("Gatilho não atingido",AZ10)))</formula>
    </cfRule>
    <cfRule type="containsText" dxfId="411" priority="411" operator="containsText" text="Gatilho atingido">
      <formula>NOT(ISERROR(SEARCH("Gatilho atingido",AZ10)))</formula>
    </cfRule>
    <cfRule type="cellIs" dxfId="410" priority="412" operator="lessThan">
      <formula>0.0525</formula>
    </cfRule>
  </conditionalFormatting>
  <conditionalFormatting sqref="AZ11">
    <cfRule type="containsText" dxfId="409" priority="407" operator="containsText" text="Gatilho não atingido">
      <formula>NOT(ISERROR(SEARCH("Gatilho não atingido",AZ11)))</formula>
    </cfRule>
    <cfRule type="containsText" dxfId="408" priority="408" operator="containsText" text="Gatilho atingido">
      <formula>NOT(ISERROR(SEARCH("Gatilho atingido",AZ11)))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BA8">
    <cfRule type="cellIs" dxfId="380" priority="380" operator="lessThan">
      <formula>0.0525</formula>
    </cfRule>
  </conditionalFormatting>
  <conditionalFormatting sqref="BA9">
    <cfRule type="containsText" dxfId="379" priority="377" operator="containsText" text="Gatilho não atingido">
      <formula>NOT(ISERROR(SEARCH("Gatilho não atingido",BA9)))</formula>
    </cfRule>
    <cfRule type="containsText" dxfId="378" priority="378" operator="containsText" text="Gatilho atingido">
      <formula>NOT(ISERROR(SEARCH("Gatilho atingido",BA9)))</formula>
    </cfRule>
    <cfRule type="cellIs" dxfId="377" priority="379" operator="lessThan">
      <formula>0.0525</formula>
    </cfRule>
  </conditionalFormatting>
  <conditionalFormatting sqref="BA10">
    <cfRule type="containsText" dxfId="376" priority="374" operator="containsText" text="Gatilho não atingido">
      <formula>NOT(ISERROR(SEARCH("Gatilho não atingido",BA10)))</formula>
    </cfRule>
    <cfRule type="containsText" dxfId="375" priority="375" operator="containsText" text="Gatilho atingido">
      <formula>NOT(ISERROR(SEARCH("Gatilho atingido",BA10)))</formula>
    </cfRule>
    <cfRule type="cellIs" dxfId="374" priority="376" operator="lessThan">
      <formula>0.0525</formula>
    </cfRule>
  </conditionalFormatting>
  <conditionalFormatting sqref="BA11">
    <cfRule type="containsText" dxfId="373" priority="371" operator="containsText" text="Gatilho não atingido">
      <formula>NOT(ISERROR(SEARCH("Gatilho não atingido",BA11)))</formula>
    </cfRule>
    <cfRule type="containsText" dxfId="372" priority="372" operator="containsText" text="Gatilho atingido">
      <formula>NOT(ISERROR(SEARCH("Gatilho atingido",BA11)))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BB8">
    <cfRule type="cellIs" dxfId="344" priority="344" operator="lessThan">
      <formula>0.0525</formula>
    </cfRule>
  </conditionalFormatting>
  <conditionalFormatting sqref="BB9">
    <cfRule type="containsText" dxfId="343" priority="341" operator="containsText" text="Gatilho não atingido">
      <formula>NOT(ISERROR(SEARCH("Gatilho não atingido",BB9)))</formula>
    </cfRule>
    <cfRule type="containsText" dxfId="342" priority="342" operator="containsText" text="Gatilho atingido">
      <formula>NOT(ISERROR(SEARCH("Gatilho atingido",BB9)))</formula>
    </cfRule>
    <cfRule type="cellIs" dxfId="341" priority="343" operator="lessThan">
      <formula>0.0525</formula>
    </cfRule>
  </conditionalFormatting>
  <conditionalFormatting sqref="BB10">
    <cfRule type="containsText" dxfId="340" priority="338" operator="containsText" text="Gatilho não atingido">
      <formula>NOT(ISERROR(SEARCH("Gatilho não atingido",BB10)))</formula>
    </cfRule>
    <cfRule type="containsText" dxfId="339" priority="339" operator="containsText" text="Gatilho atingido">
      <formula>NOT(ISERROR(SEARCH("Gatilho atingido",BB10)))</formula>
    </cfRule>
    <cfRule type="cellIs" dxfId="338" priority="340" operator="lessThan">
      <formula>0.0525</formula>
    </cfRule>
  </conditionalFormatting>
  <conditionalFormatting sqref="BB11">
    <cfRule type="containsText" dxfId="337" priority="335" operator="containsText" text="Gatilho não atingido">
      <formula>NOT(ISERROR(SEARCH("Gatilho não atingido",BB11)))</formula>
    </cfRule>
    <cfRule type="containsText" dxfId="336" priority="336" operator="containsText" text="Gatilho atingido">
      <formula>NOT(ISERROR(SEARCH("Gatilho atingido",BB11)))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BC8">
    <cfRule type="cellIs" dxfId="308" priority="308" operator="lessThan">
      <formula>0.0525</formula>
    </cfRule>
  </conditionalFormatting>
  <conditionalFormatting sqref="BC9">
    <cfRule type="containsText" dxfId="307" priority="305" operator="containsText" text="Gatilho não atingido">
      <formula>NOT(ISERROR(SEARCH("Gatilho não atingido",BC9)))</formula>
    </cfRule>
    <cfRule type="containsText" dxfId="306" priority="306" operator="containsText" text="Gatilho atingido">
      <formula>NOT(ISERROR(SEARCH("Gatilho atingido",BC9)))</formula>
    </cfRule>
    <cfRule type="cellIs" dxfId="305" priority="307" operator="lessThan">
      <formula>0.0525</formula>
    </cfRule>
  </conditionalFormatting>
  <conditionalFormatting sqref="BC10">
    <cfRule type="containsText" dxfId="304" priority="302" operator="containsText" text="Gatilho não atingido">
      <formula>NOT(ISERROR(SEARCH("Gatilho não atingido",BC10)))</formula>
    </cfRule>
    <cfRule type="containsText" dxfId="303" priority="303" operator="containsText" text="Gatilho atingido">
      <formula>NOT(ISERROR(SEARCH("Gatilho atingido",BC10)))</formula>
    </cfRule>
    <cfRule type="cellIs" dxfId="302" priority="304" operator="lessThan">
      <formula>0.0525</formula>
    </cfRule>
  </conditionalFormatting>
  <conditionalFormatting sqref="BC11">
    <cfRule type="containsText" dxfId="301" priority="299" operator="containsText" text="Gatilho não atingido">
      <formula>NOT(ISERROR(SEARCH("Gatilho não atingido",BC11)))</formula>
    </cfRule>
    <cfRule type="containsText" dxfId="300" priority="300" operator="containsText" text="Gatilho atingido">
      <formula>NOT(ISERROR(SEARCH("Gatilho atingido",BC11)))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BD8">
    <cfRule type="cellIs" dxfId="272" priority="272" operator="lessThan">
      <formula>0.0525</formula>
    </cfRule>
  </conditionalFormatting>
  <conditionalFormatting sqref="BD9">
    <cfRule type="containsText" dxfId="271" priority="269" operator="containsText" text="Gatilho não atingido">
      <formula>NOT(ISERROR(SEARCH("Gatilho não atingido",BD9)))</formula>
    </cfRule>
    <cfRule type="containsText" dxfId="270" priority="270" operator="containsText" text="Gatilho atingido">
      <formula>NOT(ISERROR(SEARCH("Gatilho atingido",BD9)))</formula>
    </cfRule>
    <cfRule type="cellIs" dxfId="269" priority="271" operator="lessThan">
      <formula>0.0525</formula>
    </cfRule>
  </conditionalFormatting>
  <conditionalFormatting sqref="BD10">
    <cfRule type="containsText" dxfId="268" priority="266" operator="containsText" text="Gatilho não atingido">
      <formula>NOT(ISERROR(SEARCH("Gatilho não atingido",BD10)))</formula>
    </cfRule>
    <cfRule type="containsText" dxfId="267" priority="267" operator="containsText" text="Gatilho atingido">
      <formula>NOT(ISERROR(SEARCH("Gatilho atingido",BD10)))</formula>
    </cfRule>
    <cfRule type="cellIs" dxfId="266" priority="268" operator="lessThan">
      <formula>0.0525</formula>
    </cfRule>
  </conditionalFormatting>
  <conditionalFormatting sqref="BD11">
    <cfRule type="containsText" dxfId="265" priority="263" operator="containsText" text="Gatilho não atingido">
      <formula>NOT(ISERROR(SEARCH("Gatilho não atingido",BD11)))</formula>
    </cfRule>
    <cfRule type="containsText" dxfId="264" priority="264" operator="containsText" text="Gatilho atingido">
      <formula>NOT(ISERROR(SEARCH("Gatilho atingido",BD11)))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BE8">
    <cfRule type="cellIs" dxfId="236" priority="236" operator="lessThan">
      <formula>0.0525</formula>
    </cfRule>
  </conditionalFormatting>
  <conditionalFormatting sqref="BE9">
    <cfRule type="containsText" dxfId="235" priority="233" operator="containsText" text="Gatilho não atingido">
      <formula>NOT(ISERROR(SEARCH("Gatilho não atingido",BE9)))</formula>
    </cfRule>
    <cfRule type="containsText" dxfId="234" priority="234" operator="containsText" text="Gatilho atingido">
      <formula>NOT(ISERROR(SEARCH("Gatilho atingido",BE9)))</formula>
    </cfRule>
    <cfRule type="cellIs" dxfId="233" priority="235" operator="lessThan">
      <formula>0.0525</formula>
    </cfRule>
  </conditionalFormatting>
  <conditionalFormatting sqref="BE10">
    <cfRule type="containsText" dxfId="232" priority="230" operator="containsText" text="Gatilho não atingido">
      <formula>NOT(ISERROR(SEARCH("Gatilho não atingido",BE10)))</formula>
    </cfRule>
    <cfRule type="containsText" dxfId="231" priority="231" operator="containsText" text="Gatilho atingido">
      <formula>NOT(ISERROR(SEARCH("Gatilho atingido",BE10)))</formula>
    </cfRule>
    <cfRule type="cellIs" dxfId="230" priority="232" operator="lessThan">
      <formula>0.0525</formula>
    </cfRule>
  </conditionalFormatting>
  <conditionalFormatting sqref="BE11">
    <cfRule type="containsText" dxfId="229" priority="227" operator="containsText" text="Gatilho não atingido">
      <formula>NOT(ISERROR(SEARCH("Gatilho não atingido",BE11)))</formula>
    </cfRule>
    <cfRule type="containsText" dxfId="228" priority="228" operator="containsText" text="Gatilho atingido">
      <formula>NOT(ISERROR(SEARCH("Gatilho atingido",BE11)))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BF8">
    <cfRule type="cellIs" dxfId="200" priority="200" operator="lessThan">
      <formula>0.0525</formula>
    </cfRule>
  </conditionalFormatting>
  <conditionalFormatting sqref="BF9">
    <cfRule type="containsText" dxfId="199" priority="197" operator="containsText" text="Gatilho não atingido">
      <formula>NOT(ISERROR(SEARCH("Gatilho não atingido",BF9)))</formula>
    </cfRule>
    <cfRule type="containsText" dxfId="198" priority="198" operator="containsText" text="Gatilho atingido">
      <formula>NOT(ISERROR(SEARCH("Gatilho atingido",BF9)))</formula>
    </cfRule>
    <cfRule type="cellIs" dxfId="197" priority="199" operator="lessThan">
      <formula>0.0525</formula>
    </cfRule>
  </conditionalFormatting>
  <conditionalFormatting sqref="BF10">
    <cfRule type="containsText" dxfId="196" priority="194" operator="containsText" text="Gatilho não atingido">
      <formula>NOT(ISERROR(SEARCH("Gatilho não atingido",BF10)))</formula>
    </cfRule>
    <cfRule type="containsText" dxfId="195" priority="195" operator="containsText" text="Gatilho atingido">
      <formula>NOT(ISERROR(SEARCH("Gatilho atingido",BF10)))</formula>
    </cfRule>
    <cfRule type="cellIs" dxfId="194" priority="196" operator="lessThan">
      <formula>0.0525</formula>
    </cfRule>
  </conditionalFormatting>
  <conditionalFormatting sqref="BF11">
    <cfRule type="containsText" dxfId="193" priority="191" operator="containsText" text="Gatilho não atingido">
      <formula>NOT(ISERROR(SEARCH("Gatilho não atingido",BF11)))</formula>
    </cfRule>
    <cfRule type="containsText" dxfId="192" priority="192" operator="containsText" text="Gatilho atingido">
      <formula>NOT(ISERROR(SEARCH("Gatilho atingido",BF11)))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G8:BI8">
    <cfRule type="cellIs" dxfId="164" priority="154" operator="lessThan">
      <formula>0.0525</formula>
    </cfRule>
  </conditionalFormatting>
  <conditionalFormatting sqref="BG9:BI9">
    <cfRule type="containsText" dxfId="163" priority="151" operator="containsText" text="Gatilho não atingido">
      <formula>NOT(ISERROR(SEARCH("Gatilho não atingido",BG9)))</formula>
    </cfRule>
    <cfRule type="containsText" dxfId="162" priority="152" operator="containsText" text="Gatilho atingido">
      <formula>NOT(ISERROR(SEARCH("Gatilho atingido",BG9)))</formula>
    </cfRule>
    <cfRule type="cellIs" dxfId="161" priority="153" operator="lessThan">
      <formula>0.0525</formula>
    </cfRule>
  </conditionalFormatting>
  <conditionalFormatting sqref="BG10:BI10">
    <cfRule type="containsText" dxfId="160" priority="148" operator="containsText" text="Gatilho não atingido">
      <formula>NOT(ISERROR(SEARCH("Gatilho não atingido",BG10)))</formula>
    </cfRule>
    <cfRule type="containsText" dxfId="159" priority="149" operator="containsText" text="Gatilho atingido">
      <formula>NOT(ISERROR(SEARCH("Gatilho atingido",BG10)))</formula>
    </cfRule>
    <cfRule type="cellIs" dxfId="158" priority="150" operator="lessThan">
      <formula>0.0525</formula>
    </cfRule>
  </conditionalFormatting>
  <conditionalFormatting sqref="BG11:BI11">
    <cfRule type="containsText" dxfId="157" priority="145" operator="containsText" text="Gatilho não atingido">
      <formula>NOT(ISERROR(SEARCH("Gatilho não atingido",BG11)))</formula>
    </cfRule>
    <cfRule type="containsText" dxfId="156" priority="146" operator="containsText" text="Gatilho atingido">
      <formula>NOT(ISERROR(SEARCH("Gatilho atingido",BG11)))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J8">
    <cfRule type="cellIs" dxfId="128" priority="118" operator="lessThan">
      <formula>0.0525</formula>
    </cfRule>
  </conditionalFormatting>
  <conditionalFormatting sqref="BJ9">
    <cfRule type="containsText" dxfId="127" priority="115" operator="containsText" text="Gatilho não atingido">
      <formula>NOT(ISERROR(SEARCH("Gatilho não atingido",BJ9)))</formula>
    </cfRule>
    <cfRule type="containsText" dxfId="126" priority="116" operator="containsText" text="Gatilho atingido">
      <formula>NOT(ISERROR(SEARCH("Gatilho atingido",BJ9)))</formula>
    </cfRule>
    <cfRule type="cellIs" dxfId="125" priority="117" operator="lessThan">
      <formula>0.0525</formula>
    </cfRule>
  </conditionalFormatting>
  <conditionalFormatting sqref="BJ10">
    <cfRule type="containsText" dxfId="124" priority="112" operator="containsText" text="Gatilho não atingido">
      <formula>NOT(ISERROR(SEARCH("Gatilho não atingido",BJ10)))</formula>
    </cfRule>
    <cfRule type="containsText" dxfId="123" priority="113" operator="containsText" text="Gatilho atingido">
      <formula>NOT(ISERROR(SEARCH("Gatilho atingido",BJ10)))</formula>
    </cfRule>
    <cfRule type="cellIs" dxfId="122" priority="114" operator="lessThan">
      <formula>0.0525</formula>
    </cfRule>
  </conditionalFormatting>
  <conditionalFormatting sqref="BJ11">
    <cfRule type="containsText" dxfId="121" priority="109" operator="containsText" text="Gatilho não atingido">
      <formula>NOT(ISERROR(SEARCH("Gatilho não atingido",BJ11)))</formula>
    </cfRule>
    <cfRule type="containsText" dxfId="120" priority="110" operator="containsText" text="Gatilho atingido">
      <formula>NOT(ISERROR(SEARCH("Gatilho atingido",BJ11)))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K8">
    <cfRule type="cellIs" dxfId="92" priority="82" operator="lessThan">
      <formula>0.0525</formula>
    </cfRule>
  </conditionalFormatting>
  <conditionalFormatting sqref="BK9">
    <cfRule type="containsText" dxfId="91" priority="79" operator="containsText" text="Gatilho não atingido">
      <formula>NOT(ISERROR(SEARCH("Gatilho não atingido",BK9)))</formula>
    </cfRule>
    <cfRule type="containsText" dxfId="90" priority="80" operator="containsText" text="Gatilho atingido">
      <formula>NOT(ISERROR(SEARCH("Gatilho atingido",BK9)))</formula>
    </cfRule>
    <cfRule type="cellIs" dxfId="89" priority="81" operator="lessThan">
      <formula>0.0525</formula>
    </cfRule>
  </conditionalFormatting>
  <conditionalFormatting sqref="BK10">
    <cfRule type="containsText" dxfId="88" priority="76" operator="containsText" text="Gatilho não atingido">
      <formula>NOT(ISERROR(SEARCH("Gatilho não atingido",BK10)))</formula>
    </cfRule>
    <cfRule type="containsText" dxfId="87" priority="77" operator="containsText" text="Gatilho atingido">
      <formula>NOT(ISERROR(SEARCH("Gatilho atingido",BK10)))</formula>
    </cfRule>
    <cfRule type="cellIs" dxfId="86" priority="78" operator="lessThan">
      <formula>0.0525</formula>
    </cfRule>
  </conditionalFormatting>
  <conditionalFormatting sqref="BK11">
    <cfRule type="containsText" dxfId="85" priority="73" operator="containsText" text="Gatilho não atingido">
      <formula>NOT(ISERROR(SEARCH("Gatilho não atingido",BK11)))</formula>
    </cfRule>
    <cfRule type="containsText" dxfId="84" priority="74" operator="containsText" text="Gatilho atingido">
      <formula>NOT(ISERROR(SEARCH("Gatilho atingido",BK11)))</formula>
    </cfRule>
    <cfRule type="cellIs" dxfId="83" priority="75" operator="lessThan">
      <formula>0.0525</formula>
    </cfRule>
  </conditionalFormatting>
  <conditionalFormatting sqref="BL8">
    <cfRule type="cellIs" dxfId="82" priority="72" operator="lessThan">
      <formula>0.0525</formula>
    </cfRule>
  </conditionalFormatting>
  <conditionalFormatting sqref="BL9">
    <cfRule type="containsText" dxfId="81" priority="69" operator="containsText" text="Gatilho não atingido">
      <formula>NOT(ISERROR(SEARCH("Gatilho não atingido",BL9)))</formula>
    </cfRule>
    <cfRule type="containsText" dxfId="80" priority="70" operator="containsText" text="Gatilho atingido">
      <formula>NOT(ISERROR(SEARCH("Gatilho atingido",BL9)))</formula>
    </cfRule>
    <cfRule type="cellIs" dxfId="79" priority="71" operator="lessThan">
      <formula>0.0525</formula>
    </cfRule>
  </conditionalFormatting>
  <conditionalFormatting sqref="BL10">
    <cfRule type="containsText" dxfId="78" priority="66" operator="containsText" text="Gatilho não atingido">
      <formula>NOT(ISERROR(SEARCH("Gatilho não atingido",BL10)))</formula>
    </cfRule>
    <cfRule type="containsText" dxfId="77" priority="67" operator="containsText" text="Gatilho atingido">
      <formula>NOT(ISERROR(SEARCH("Gatilho atingido",BL10)))</formula>
    </cfRule>
    <cfRule type="cellIs" dxfId="76" priority="68" operator="lessThan">
      <formula>0.0525</formula>
    </cfRule>
  </conditionalFormatting>
  <conditionalFormatting sqref="BL11">
    <cfRule type="containsText" dxfId="75" priority="63" operator="containsText" text="Gatilho não atingido">
      <formula>NOT(ISERROR(SEARCH("Gatilho não atingido",BL11)))</formula>
    </cfRule>
    <cfRule type="containsText" dxfId="74" priority="64" operator="containsText" text="Gatilho atingido">
      <formula>NOT(ISERROR(SEARCH("Gatilho atingido",BL11)))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S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S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S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S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S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S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S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S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S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S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S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S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S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M8:BU8">
    <cfRule type="cellIs" dxfId="20" priority="10" operator="lessThan">
      <formula>0.0525</formula>
    </cfRule>
  </conditionalFormatting>
  <conditionalFormatting sqref="BM9:BU9">
    <cfRule type="containsText" dxfId="19" priority="7" operator="containsText" text="Gatilho não atingido">
      <formula>NOT(ISERROR(SEARCH("Gatilho não atingido",BM9)))</formula>
    </cfRule>
    <cfRule type="containsText" dxfId="18" priority="8" operator="containsText" text="Gatilho atingido">
      <formula>NOT(ISERROR(SEARCH("Gatilho atingido",BM9)))</formula>
    </cfRule>
    <cfRule type="cellIs" dxfId="17" priority="9" operator="lessThan">
      <formula>0.0525</formula>
    </cfRule>
  </conditionalFormatting>
  <conditionalFormatting sqref="BM10:BU10">
    <cfRule type="containsText" dxfId="16" priority="4" operator="containsText" text="Gatilho não atingido">
      <formula>NOT(ISERROR(SEARCH("Gatilho não atingido",BM10)))</formula>
    </cfRule>
    <cfRule type="containsText" dxfId="15" priority="5" operator="containsText" text="Gatilho atingido">
      <formula>NOT(ISERROR(SEARCH("Gatilho atingido",BM10)))</formula>
    </cfRule>
    <cfRule type="cellIs" dxfId="14" priority="6" operator="lessThan">
      <formula>0.0525</formula>
    </cfRule>
  </conditionalFormatting>
  <conditionalFormatting sqref="BM11:BU11">
    <cfRule type="containsText" dxfId="13" priority="1" operator="containsText" text="Gatilho não atingido">
      <formula>NOT(ISERROR(SEARCH("Gatilho não atingido",BM11)))</formula>
    </cfRule>
    <cfRule type="containsText" dxfId="12" priority="2" operator="containsText" text="Gatilho atingido">
      <formula>NOT(ISERROR(SEARCH("Gatilho atingido",BM11)))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3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3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3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3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3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3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3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3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3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3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3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3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3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3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3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3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3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3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3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3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3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3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3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3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3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3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3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3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3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3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3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3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3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3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3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3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3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3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3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3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3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3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3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3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3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3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3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3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3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3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3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3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3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3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3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3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3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3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3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3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3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3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3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3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3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3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3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3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3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3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3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3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3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3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3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3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3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3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3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3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3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3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3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3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3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3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3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3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3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3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3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3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3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3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3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3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3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3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3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3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3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3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3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3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3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3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3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3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3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3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3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3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3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3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3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3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3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3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3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3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3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3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3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3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3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3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3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3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3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3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3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3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3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3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3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3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3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3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3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3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3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3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3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3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3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3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3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3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3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3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3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3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3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3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3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3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3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3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3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3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3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3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3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3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3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3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3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3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3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3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3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3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3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3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3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3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3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3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3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3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3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3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3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3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3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3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3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3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3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3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3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3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3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3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3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3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3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3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3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3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3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3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3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3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3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3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3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3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3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3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3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3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3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3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3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3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3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3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3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3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3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3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3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3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3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3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3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3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3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3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3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3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3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3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3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3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3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3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3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3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3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3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3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3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3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3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3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3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3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3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3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3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3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3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3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3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3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3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3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3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3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3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3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3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3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3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3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3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3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3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3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3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3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3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3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3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3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3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3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3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3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3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3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3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3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3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3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3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3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3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3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3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3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3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3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3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3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3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3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3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3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3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3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3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3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3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3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3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3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3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3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3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3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3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3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3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3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3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3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3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3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3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3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3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3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3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3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3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3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3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3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3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3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3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3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3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3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3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3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3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3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3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3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3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3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3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3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3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3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3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3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3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3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3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3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3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3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3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3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3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3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3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3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3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3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3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3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3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3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3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3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3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3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3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3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3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3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3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3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3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3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3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3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3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3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3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3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3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3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3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3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3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3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3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3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3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3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3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3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3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3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3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3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3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3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3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3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3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3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3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3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3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3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3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3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3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3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3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3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3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3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3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3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3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3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3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3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3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3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3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3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3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3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3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3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3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3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3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3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3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3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3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3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3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3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3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3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3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3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3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3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3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3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3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3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3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3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3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3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3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3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3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3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3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3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3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3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3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3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3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3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3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3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3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3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3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3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3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3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3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3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3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3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3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3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3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3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3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3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3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3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3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3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3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3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3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3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3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3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3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3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3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3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3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3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3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3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3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3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3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3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3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3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3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3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3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3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3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3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3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3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3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3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3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3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3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3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3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3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3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3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3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3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3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3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3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3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3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3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3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3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3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3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3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3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3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3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3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3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3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3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3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3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3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3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3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3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3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3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3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3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3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3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3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3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3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3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3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3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3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3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3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3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3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3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3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3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3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3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3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3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3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3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3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3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3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3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3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3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3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3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3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3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3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3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3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3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3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3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3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3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3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3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3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3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3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3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3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3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3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3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3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3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3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3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3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3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3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3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3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3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3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3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3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3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3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3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3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3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3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3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3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3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3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3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3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3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3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3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3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3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3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3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3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3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3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3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3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3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3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3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3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3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3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3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3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3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3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3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3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3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3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3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3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3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3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3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3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3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3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3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3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3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3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3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3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3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3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3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3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3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3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3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3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3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3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3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3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3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3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3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3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3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3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3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3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3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3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3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3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3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3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3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3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3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3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3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3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3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3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3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3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3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3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3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3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3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3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3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3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3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3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3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3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3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3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3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3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3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3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3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3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3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3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3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3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3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3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3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3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3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3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3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3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3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3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3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3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3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3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3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3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3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3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3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3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3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3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3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3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3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3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3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3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3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3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3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3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3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3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3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3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3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3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3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3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3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3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3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3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3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3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3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3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3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3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3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3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3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3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3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3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3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3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3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3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3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3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3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3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3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3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3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3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3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3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3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3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3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3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3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3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3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3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3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3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3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3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3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3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3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3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3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3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3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3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3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3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3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3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3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3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3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3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3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3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3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3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3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3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3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3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3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3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3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3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3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3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3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3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3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3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3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3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3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3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3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3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3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3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3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3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3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3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3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3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3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3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3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3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3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3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3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3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3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3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3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3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3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3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3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3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3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3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3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3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3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3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3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3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3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3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3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3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3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3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3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3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3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3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3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3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3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3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3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3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3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3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3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3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3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3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3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3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3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3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3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3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3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3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3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3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3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3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3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3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3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3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3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3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3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3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3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3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3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3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3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3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3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3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3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3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3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3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3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3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3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3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3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3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3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3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3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3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3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3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3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3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3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3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3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3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3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3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3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3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3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3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3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3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3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3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3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3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3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3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3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3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3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3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3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3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3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3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3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3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3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3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3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3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3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3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3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3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3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3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3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3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3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3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3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3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3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3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3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3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3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3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3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3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3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3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3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3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3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3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3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3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3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3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3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3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3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3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3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</row>
    <row r="2" spans="1:26" x14ac:dyDescent="0.3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3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3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3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3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3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3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3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3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3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3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3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3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3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3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3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3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3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3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3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3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3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3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3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3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3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3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3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3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3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3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3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3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3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3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3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3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3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3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3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3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3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3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3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3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3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3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3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3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3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3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3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3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3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3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3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3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3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3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3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3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3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3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3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3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3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3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3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3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3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3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3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3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3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3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3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3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3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3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3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3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3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3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3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3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3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3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3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3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3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3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3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3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3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3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3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3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3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3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3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3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3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3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3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3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3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3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3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3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3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3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3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3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3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3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3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3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3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3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3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3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3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3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3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3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3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3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3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3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3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3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3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3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3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3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3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3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3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3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3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3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3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3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3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3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3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3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3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3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3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3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3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3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3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3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3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3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3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3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3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3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3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3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3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3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3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3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3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3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3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3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3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3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3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3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3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3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3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3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3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3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3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3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3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3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3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3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3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3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3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3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3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3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3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3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3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3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3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3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3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3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3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3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3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3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3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3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3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3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3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3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3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3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3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3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3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3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3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3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3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3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3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3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3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3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3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3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3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3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3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3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3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3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3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3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3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3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3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3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3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3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3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3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3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3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3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3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3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3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3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3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3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3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3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3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3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3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3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3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3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3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3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3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3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3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3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3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3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3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3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3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3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3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3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3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3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3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3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3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3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3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3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3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3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3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3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3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3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3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3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3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3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3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3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3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3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3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3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3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3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3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3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3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3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3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3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3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3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3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3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3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3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3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3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3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3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3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3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3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3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3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3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3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3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3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3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3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3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3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3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3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3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3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3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3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3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3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3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3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3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3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3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3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3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3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3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3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3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3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3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3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3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3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3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3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3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3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3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3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3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3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3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3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3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3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3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3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3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3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3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3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3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3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3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3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3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3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3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3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3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3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3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3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3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3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3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3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3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3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3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3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3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3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3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3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3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3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3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3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3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3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3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3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3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3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3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3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3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3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3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3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3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3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3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3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3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3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3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3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3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3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3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3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3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3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3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3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3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3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3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3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3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3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3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3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3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3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3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3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3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3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3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3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3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3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3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3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3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3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3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3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3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3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3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3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3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3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3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3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3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3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3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3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3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3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3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3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3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3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3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3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3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3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3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3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3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3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3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3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3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3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3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3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3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3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3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3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3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3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3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3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3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3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3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3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3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3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3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3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3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3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3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3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3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3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3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3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3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3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3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3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3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3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3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3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3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3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3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3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3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3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3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3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3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3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3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3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3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3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3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3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3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3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3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3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3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3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3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3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3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3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3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3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3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3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3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3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3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3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3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3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3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3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3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3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3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3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3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3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3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3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3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3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3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3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3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3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3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3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3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3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3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3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3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3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3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3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3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3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3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3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3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3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3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3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3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3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3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3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3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3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3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3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3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3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3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3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3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3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3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3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3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3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3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3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3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3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3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3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3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3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3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3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3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3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3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3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3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3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3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3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3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3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3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3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3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3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3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3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3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3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3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3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3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3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3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3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3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3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3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3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3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3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3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3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3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3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3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3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3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3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3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3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3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3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3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3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3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3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3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3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3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3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3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3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3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3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3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3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3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3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3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3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3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3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3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3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3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3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3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3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3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3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3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3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3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3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3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3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3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3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3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3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3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3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3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3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3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3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3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3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3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3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3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3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3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3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3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3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3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3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3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3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3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3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3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3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3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3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3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3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3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3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3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3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3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3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3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3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3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3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3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3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3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3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3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3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3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3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3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3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3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3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3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3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3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3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3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3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3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3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3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3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3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3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3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3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3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3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3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3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3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3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3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3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3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3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3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3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3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3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3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3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3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3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3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3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3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3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3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3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3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3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3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3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3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3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3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3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3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3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3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3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3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3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3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3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3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3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3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3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3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3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3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3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3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3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3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3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3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3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3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3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3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3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3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3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3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3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3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3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3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3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3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3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3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3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3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3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3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3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3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3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3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3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3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3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3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3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3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3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3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3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3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3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3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3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3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3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3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3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3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3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3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3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3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3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3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3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3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3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3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3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3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3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3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3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3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3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3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3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3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3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3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3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3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3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3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3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3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3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3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3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3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3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3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3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3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3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3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3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3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3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3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3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3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3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3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3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3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3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3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3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3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3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3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3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3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3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3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3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3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3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3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3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3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3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3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3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3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3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3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3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3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3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3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3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3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3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3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3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3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3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3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3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3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3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3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3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3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3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3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3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3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3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3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3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3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3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3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3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3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3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3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3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3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3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3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3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3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3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3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3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3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3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3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3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3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3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3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3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3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3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3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3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3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3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3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3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3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3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3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3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3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3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3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3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3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3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3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3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3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3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3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3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3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3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3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3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3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3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3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3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3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3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3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3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3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3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3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3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3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3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3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3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3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3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3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3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3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3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3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3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3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3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3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3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3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3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3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3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3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3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3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3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3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3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3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3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3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3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3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3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3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3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3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3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3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3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3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3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3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3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3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3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3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3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3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3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3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3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3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3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3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3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3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3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3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3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3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3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3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3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3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3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3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3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3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3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3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3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3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3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3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3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3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3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3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3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3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3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3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3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3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3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3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3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3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3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3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3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3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3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3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3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3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3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3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3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3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3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3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3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3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3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3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3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3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3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3">
      <c r="A7" s="27"/>
      <c r="B7" s="15"/>
    </row>
    <row r="10" spans="1:14" ht="15" thickBot="1" x14ac:dyDescent="0.35"/>
    <row r="11" spans="1:14" ht="15" thickBot="1" x14ac:dyDescent="0.35">
      <c r="A11" s="102" t="s">
        <v>89</v>
      </c>
      <c r="B11" s="103"/>
      <c r="C11" s="103"/>
      <c r="D11" s="104"/>
      <c r="E11" s="1"/>
      <c r="F11" s="102" t="s">
        <v>87</v>
      </c>
      <c r="G11" s="103"/>
      <c r="H11" s="103"/>
      <c r="I11" s="104"/>
      <c r="J11" s="1"/>
      <c r="K11" s="102" t="s">
        <v>88</v>
      </c>
      <c r="L11" s="103"/>
      <c r="M11" s="103"/>
      <c r="N11" s="104"/>
    </row>
    <row r="12" spans="1:14" ht="15" thickBot="1" x14ac:dyDescent="0.35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3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3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3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5" t="s">
        <v>85</v>
      </c>
      <c r="L15" s="105"/>
      <c r="M15" s="105"/>
      <c r="N15" s="105"/>
    </row>
    <row r="16" spans="1:14" x14ac:dyDescent="0.3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3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3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3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3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3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3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3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3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3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3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3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3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3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3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3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2023-02-16T18:46:47Z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